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30" windowWidth="14745" windowHeight="7710" activeTab="5"/>
  </bookViews>
  <sheets>
    <sheet name="TN - S" sheetId="8" r:id="rId1"/>
    <sheet name="Chl A - S" sheetId="9" r:id="rId2"/>
    <sheet name="DO - S" sheetId="4" r:id="rId3"/>
    <sheet name="Data S" sheetId="10" r:id="rId4"/>
    <sheet name="Data B" sheetId="11" r:id="rId5"/>
    <sheet name="Data" sheetId="2" r:id="rId6"/>
  </sheets>
  <definedNames>
    <definedName name="_xlnm._FilterDatabase" localSheetId="5" hidden="1">Data!$B$1:$B$180</definedName>
  </definedNames>
  <calcPr calcId="125725"/>
</workbook>
</file>

<file path=xl/calcChain.xml><?xml version="1.0" encoding="utf-8"?>
<calcChain xmlns="http://schemas.openxmlformats.org/spreadsheetml/2006/main">
  <c r="AC142" i="2"/>
  <c r="AP142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C141"/>
  <c r="H116" i="10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8"/>
  <c r="AP116"/>
  <c r="AQ116" s="1"/>
  <c r="AL116"/>
  <c r="AJ116"/>
  <c r="X116"/>
  <c r="V116"/>
  <c r="AP115"/>
  <c r="AQ115" s="1"/>
  <c r="AL115"/>
  <c r="AJ115"/>
  <c r="X115"/>
  <c r="V115"/>
  <c r="AP114"/>
  <c r="AQ114" s="1"/>
  <c r="AL114"/>
  <c r="AJ114"/>
  <c r="X114"/>
  <c r="V114"/>
  <c r="AP113"/>
  <c r="AQ113" s="1"/>
  <c r="AL113"/>
  <c r="AJ113"/>
  <c r="X113"/>
  <c r="V113"/>
  <c r="AP112"/>
  <c r="AQ112" s="1"/>
  <c r="AL112"/>
  <c r="AJ112"/>
  <c r="X112"/>
  <c r="V112"/>
  <c r="AP111"/>
  <c r="AQ111" s="1"/>
  <c r="AL111"/>
  <c r="AJ111"/>
  <c r="X111"/>
  <c r="V111"/>
  <c r="AP110"/>
  <c r="AQ110" s="1"/>
  <c r="AL110"/>
  <c r="AJ110"/>
  <c r="X110"/>
  <c r="V110"/>
  <c r="AP109"/>
  <c r="AQ109" s="1"/>
  <c r="AL102"/>
  <c r="AL103"/>
  <c r="AL104"/>
  <c r="AL105"/>
  <c r="AL106"/>
  <c r="AL107"/>
  <c r="AL108"/>
  <c r="AL109"/>
  <c r="AM109"/>
  <c r="AJ102"/>
  <c r="AJ103"/>
  <c r="AK109" s="1"/>
  <c r="AJ104"/>
  <c r="AJ105"/>
  <c r="AJ106"/>
  <c r="AJ107"/>
  <c r="AJ108"/>
  <c r="AJ109"/>
  <c r="AE109"/>
  <c r="Z109"/>
  <c r="X109"/>
  <c r="V109"/>
  <c r="N109"/>
  <c r="I109"/>
  <c r="AP108"/>
  <c r="AQ108" s="1"/>
  <c r="X108"/>
  <c r="V108"/>
  <c r="AP107"/>
  <c r="AQ107" s="1"/>
  <c r="X107"/>
  <c r="V107"/>
  <c r="AP106"/>
  <c r="AQ106" s="1"/>
  <c r="X106"/>
  <c r="V106"/>
  <c r="AP105"/>
  <c r="AQ105" s="1"/>
  <c r="X105"/>
  <c r="V105"/>
  <c r="AP104"/>
  <c r="AQ104" s="1"/>
  <c r="X104"/>
  <c r="V104"/>
  <c r="AP103"/>
  <c r="AQ103" s="1"/>
  <c r="X103"/>
  <c r="V103"/>
  <c r="AP102"/>
  <c r="AQ102" s="1"/>
  <c r="X102"/>
  <c r="V102"/>
  <c r="AP101"/>
  <c r="AQ101" s="1"/>
  <c r="AL94"/>
  <c r="AL95"/>
  <c r="AL96"/>
  <c r="AM101" s="1"/>
  <c r="AL97"/>
  <c r="AL98"/>
  <c r="AL99"/>
  <c r="AL100"/>
  <c r="AL101"/>
  <c r="AJ94"/>
  <c r="AJ95"/>
  <c r="AK101" s="1"/>
  <c r="AJ96"/>
  <c r="AJ97"/>
  <c r="AJ98"/>
  <c r="AJ99"/>
  <c r="AJ100"/>
  <c r="AJ101"/>
  <c r="AE101"/>
  <c r="Z101"/>
  <c r="X101"/>
  <c r="V101"/>
  <c r="N101"/>
  <c r="I101"/>
  <c r="AP100"/>
  <c r="AQ100" s="1"/>
  <c r="X100"/>
  <c r="V100"/>
  <c r="AP99"/>
  <c r="AQ99" s="1"/>
  <c r="X99"/>
  <c r="V99"/>
  <c r="AP98"/>
  <c r="AQ98" s="1"/>
  <c r="X98"/>
  <c r="V98"/>
  <c r="AP97"/>
  <c r="AQ97" s="1"/>
  <c r="X97"/>
  <c r="V97"/>
  <c r="AP96"/>
  <c r="AQ96" s="1"/>
  <c r="X96"/>
  <c r="V96"/>
  <c r="AP95"/>
  <c r="AQ95" s="1"/>
  <c r="X95"/>
  <c r="V95"/>
  <c r="AP94"/>
  <c r="AQ94" s="1"/>
  <c r="X94"/>
  <c r="V94"/>
  <c r="AP93"/>
  <c r="AQ93" s="1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M93"/>
  <c r="AJ74"/>
  <c r="AJ75"/>
  <c r="AK93" s="1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E93"/>
  <c r="Z93"/>
  <c r="X93"/>
  <c r="V93"/>
  <c r="N93"/>
  <c r="I93"/>
  <c r="AP92"/>
  <c r="AQ92" s="1"/>
  <c r="X92"/>
  <c r="V92"/>
  <c r="AP91"/>
  <c r="AQ91" s="1"/>
  <c r="X91"/>
  <c r="V91"/>
  <c r="AP90"/>
  <c r="AQ90" s="1"/>
  <c r="X90"/>
  <c r="V90"/>
  <c r="AP89"/>
  <c r="AQ89" s="1"/>
  <c r="X89"/>
  <c r="V89"/>
  <c r="AP88"/>
  <c r="AQ88" s="1"/>
  <c r="X88"/>
  <c r="V88"/>
  <c r="AP87"/>
  <c r="AQ87" s="1"/>
  <c r="X87"/>
  <c r="V87"/>
  <c r="AP86"/>
  <c r="AQ86" s="1"/>
  <c r="X86"/>
  <c r="V86"/>
  <c r="AP85"/>
  <c r="AQ85" s="1"/>
  <c r="X85"/>
  <c r="V85"/>
  <c r="AP84"/>
  <c r="AQ84" s="1"/>
  <c r="X84"/>
  <c r="V84"/>
  <c r="AP83"/>
  <c r="AQ83" s="1"/>
  <c r="X83"/>
  <c r="V83"/>
  <c r="L74"/>
  <c r="N83" s="1"/>
  <c r="L75"/>
  <c r="L76"/>
  <c r="L77"/>
  <c r="L78"/>
  <c r="L79"/>
  <c r="L80"/>
  <c r="L81"/>
  <c r="L82"/>
  <c r="L83"/>
  <c r="I83"/>
  <c r="AP82"/>
  <c r="AQ82" s="1"/>
  <c r="X82"/>
  <c r="V82"/>
  <c r="AP81"/>
  <c r="AQ81" s="1"/>
  <c r="X81"/>
  <c r="V81"/>
  <c r="AP80"/>
  <c r="AQ80" s="1"/>
  <c r="X80"/>
  <c r="V80"/>
  <c r="AP79"/>
  <c r="AQ79" s="1"/>
  <c r="X79"/>
  <c r="V79"/>
  <c r="AP78"/>
  <c r="AQ78" s="1"/>
  <c r="X78"/>
  <c r="V78"/>
  <c r="AP77"/>
  <c r="AQ77" s="1"/>
  <c r="X77"/>
  <c r="V77"/>
  <c r="AP76"/>
  <c r="AQ76" s="1"/>
  <c r="X76"/>
  <c r="V76"/>
  <c r="AP75"/>
  <c r="AQ75" s="1"/>
  <c r="X75"/>
  <c r="V75"/>
  <c r="AP74"/>
  <c r="AQ74" s="1"/>
  <c r="X74"/>
  <c r="V74"/>
  <c r="AP73"/>
  <c r="AQ73" s="1"/>
  <c r="AL62"/>
  <c r="AL63"/>
  <c r="AL64"/>
  <c r="AM73" s="1"/>
  <c r="AL65"/>
  <c r="AL66"/>
  <c r="AL67"/>
  <c r="AL68"/>
  <c r="AL69"/>
  <c r="AL70"/>
  <c r="AL71"/>
  <c r="AL72"/>
  <c r="AL73"/>
  <c r="AJ62"/>
  <c r="AJ63"/>
  <c r="AK73" s="1"/>
  <c r="AJ64"/>
  <c r="AJ65"/>
  <c r="AJ66"/>
  <c r="AJ67"/>
  <c r="AJ68"/>
  <c r="AJ69"/>
  <c r="AJ70"/>
  <c r="AJ71"/>
  <c r="AJ72"/>
  <c r="AJ73"/>
  <c r="AE73"/>
  <c r="Z73"/>
  <c r="X73"/>
  <c r="V73"/>
  <c r="L64"/>
  <c r="N73" s="1"/>
  <c r="L65"/>
  <c r="L66"/>
  <c r="L67"/>
  <c r="L68"/>
  <c r="L69"/>
  <c r="L70"/>
  <c r="L71"/>
  <c r="L72"/>
  <c r="L73"/>
  <c r="M73"/>
  <c r="I73"/>
  <c r="AP72"/>
  <c r="AQ72"/>
  <c r="X72"/>
  <c r="V72"/>
  <c r="M72"/>
  <c r="AP71"/>
  <c r="AQ71" s="1"/>
  <c r="X71"/>
  <c r="V71"/>
  <c r="M71"/>
  <c r="AP70"/>
  <c r="AQ70"/>
  <c r="X70"/>
  <c r="V70"/>
  <c r="M70"/>
  <c r="AP69"/>
  <c r="AQ69" s="1"/>
  <c r="X69"/>
  <c r="V69"/>
  <c r="M69"/>
  <c r="AP68"/>
  <c r="AQ68"/>
  <c r="X68"/>
  <c r="V68"/>
  <c r="M68"/>
  <c r="AP67"/>
  <c r="AQ67" s="1"/>
  <c r="X67"/>
  <c r="V67"/>
  <c r="M67"/>
  <c r="AP66"/>
  <c r="AQ66"/>
  <c r="X66"/>
  <c r="V66"/>
  <c r="M66"/>
  <c r="AP65"/>
  <c r="AQ65" s="1"/>
  <c r="X65"/>
  <c r="V65"/>
  <c r="M65"/>
  <c r="AP64"/>
  <c r="AQ64"/>
  <c r="X64"/>
  <c r="V64"/>
  <c r="M64"/>
  <c r="AP63"/>
  <c r="AQ63" s="1"/>
  <c r="X63"/>
  <c r="V63"/>
  <c r="AP62"/>
  <c r="AQ62" s="1"/>
  <c r="X62"/>
  <c r="V62"/>
  <c r="AP61"/>
  <c r="AQ61" s="1"/>
  <c r="AL52"/>
  <c r="AM61" s="1"/>
  <c r="AL53"/>
  <c r="AL54"/>
  <c r="AL55"/>
  <c r="AL56"/>
  <c r="AL57"/>
  <c r="AL58"/>
  <c r="AL59"/>
  <c r="AL60"/>
  <c r="AL61"/>
  <c r="AJ52"/>
  <c r="AJ53"/>
  <c r="AK61" s="1"/>
  <c r="AJ54"/>
  <c r="AJ55"/>
  <c r="AJ56"/>
  <c r="AJ57"/>
  <c r="AJ58"/>
  <c r="AJ59"/>
  <c r="AJ60"/>
  <c r="AJ61"/>
  <c r="AE61"/>
  <c r="Z61"/>
  <c r="X61"/>
  <c r="V61"/>
  <c r="N61"/>
  <c r="I61"/>
  <c r="AP60"/>
  <c r="AQ60" s="1"/>
  <c r="X60"/>
  <c r="V60"/>
  <c r="AP59"/>
  <c r="AQ59" s="1"/>
  <c r="X59"/>
  <c r="V59"/>
  <c r="AP58"/>
  <c r="AQ58" s="1"/>
  <c r="X58"/>
  <c r="V58"/>
  <c r="AP57"/>
  <c r="AQ57" s="1"/>
  <c r="X57"/>
  <c r="V57"/>
  <c r="AP56"/>
  <c r="AQ56" s="1"/>
  <c r="X56"/>
  <c r="V56"/>
  <c r="AP55"/>
  <c r="AQ55" s="1"/>
  <c r="X55"/>
  <c r="V55"/>
  <c r="AP54"/>
  <c r="AQ54" s="1"/>
  <c r="X54"/>
  <c r="V54"/>
  <c r="AP53"/>
  <c r="AQ53" s="1"/>
  <c r="X53"/>
  <c r="V53"/>
  <c r="AP52"/>
  <c r="AQ52" s="1"/>
  <c r="X52"/>
  <c r="V52"/>
  <c r="AP51"/>
  <c r="AQ51" s="1"/>
  <c r="AL40"/>
  <c r="AL41"/>
  <c r="AL42"/>
  <c r="AL43"/>
  <c r="AL44"/>
  <c r="AL45"/>
  <c r="AL46"/>
  <c r="AM51" s="1"/>
  <c r="AL47"/>
  <c r="AL48"/>
  <c r="AL49"/>
  <c r="AL50"/>
  <c r="AL51"/>
  <c r="AK51"/>
  <c r="AE51"/>
  <c r="Z51"/>
  <c r="X51"/>
  <c r="V51"/>
  <c r="N51"/>
  <c r="I51"/>
  <c r="AP50"/>
  <c r="AQ50" s="1"/>
  <c r="X50"/>
  <c r="V50"/>
  <c r="AP49"/>
  <c r="AQ49" s="1"/>
  <c r="X49"/>
  <c r="V49"/>
  <c r="AP48"/>
  <c r="AQ48" s="1"/>
  <c r="X48"/>
  <c r="V48"/>
  <c r="AP47"/>
  <c r="AQ47" s="1"/>
  <c r="X47"/>
  <c r="V47"/>
  <c r="AP46"/>
  <c r="AQ46" s="1"/>
  <c r="X46"/>
  <c r="V46"/>
  <c r="AP45"/>
  <c r="AQ45" s="1"/>
  <c r="X45"/>
  <c r="V45"/>
  <c r="AP44"/>
  <c r="AQ44" s="1"/>
  <c r="X44"/>
  <c r="V44"/>
  <c r="AP43"/>
  <c r="AQ43" s="1"/>
  <c r="X43"/>
  <c r="V43"/>
  <c r="AP42"/>
  <c r="AQ42" s="1"/>
  <c r="X42"/>
  <c r="V42"/>
  <c r="AP41"/>
  <c r="AQ41" s="1"/>
  <c r="X41"/>
  <c r="V41"/>
  <c r="AP40"/>
  <c r="AQ40" s="1"/>
  <c r="X40"/>
  <c r="V40"/>
  <c r="AP39"/>
  <c r="AQ39" s="1"/>
  <c r="AL28"/>
  <c r="AL29"/>
  <c r="AL30"/>
  <c r="AL31"/>
  <c r="AL32"/>
  <c r="AL33"/>
  <c r="AL34"/>
  <c r="AL35"/>
  <c r="AL36"/>
  <c r="AL37"/>
  <c r="AL38"/>
  <c r="AL39"/>
  <c r="AM39"/>
  <c r="AK39"/>
  <c r="AE39"/>
  <c r="Z39"/>
  <c r="X39"/>
  <c r="V39"/>
  <c r="N39"/>
  <c r="I39"/>
  <c r="AP38"/>
  <c r="AQ38" s="1"/>
  <c r="X38"/>
  <c r="V38"/>
  <c r="AP37"/>
  <c r="AQ37" s="1"/>
  <c r="X37"/>
  <c r="V37"/>
  <c r="AP36"/>
  <c r="AQ36" s="1"/>
  <c r="X36"/>
  <c r="V36"/>
  <c r="AP35"/>
  <c r="AQ35" s="1"/>
  <c r="X35"/>
  <c r="V35"/>
  <c r="AP34"/>
  <c r="AQ34" s="1"/>
  <c r="X34"/>
  <c r="V34"/>
  <c r="AP33"/>
  <c r="AQ33" s="1"/>
  <c r="X33"/>
  <c r="V33"/>
  <c r="AP32"/>
  <c r="AQ32" s="1"/>
  <c r="X32"/>
  <c r="V32"/>
  <c r="AP31"/>
  <c r="AQ31" s="1"/>
  <c r="X31"/>
  <c r="V31"/>
  <c r="AP30"/>
  <c r="AQ30" s="1"/>
  <c r="X30"/>
  <c r="V30"/>
  <c r="AP29"/>
  <c r="AQ29" s="1"/>
  <c r="X29"/>
  <c r="V29"/>
  <c r="AP28"/>
  <c r="AQ28" s="1"/>
  <c r="X28"/>
  <c r="V28"/>
  <c r="AP27"/>
  <c r="AQ27" s="1"/>
  <c r="AL18"/>
  <c r="AL19"/>
  <c r="AL20"/>
  <c r="AL21"/>
  <c r="AL22"/>
  <c r="AL23"/>
  <c r="AL24"/>
  <c r="AL25"/>
  <c r="AL26"/>
  <c r="AL27"/>
  <c r="AM27"/>
  <c r="AK27"/>
  <c r="AE27"/>
  <c r="Z27"/>
  <c r="X27"/>
  <c r="V27"/>
  <c r="N27"/>
  <c r="I27"/>
  <c r="AP26"/>
  <c r="AQ26" s="1"/>
  <c r="X26"/>
  <c r="V26"/>
  <c r="AP25"/>
  <c r="AQ25" s="1"/>
  <c r="X25"/>
  <c r="V25"/>
  <c r="AP24"/>
  <c r="AQ24" s="1"/>
  <c r="X24"/>
  <c r="V24"/>
  <c r="AP23"/>
  <c r="AQ23" s="1"/>
  <c r="X23"/>
  <c r="V23"/>
  <c r="AP22"/>
  <c r="AQ22" s="1"/>
  <c r="X22"/>
  <c r="V22"/>
  <c r="AP21"/>
  <c r="AQ21" s="1"/>
  <c r="X21"/>
  <c r="V21"/>
  <c r="AP20"/>
  <c r="AQ20" s="1"/>
  <c r="X20"/>
  <c r="V20"/>
  <c r="AP19"/>
  <c r="AQ19" s="1"/>
  <c r="X19"/>
  <c r="V19"/>
  <c r="AP18"/>
  <c r="AQ18" s="1"/>
  <c r="X18"/>
  <c r="V18"/>
  <c r="AP17"/>
  <c r="AQ17" s="1"/>
  <c r="AL6"/>
  <c r="AL7"/>
  <c r="AL8"/>
  <c r="AL9"/>
  <c r="AL10"/>
  <c r="AL11"/>
  <c r="AL12"/>
  <c r="AL13"/>
  <c r="AL14"/>
  <c r="AL15"/>
  <c r="AL16"/>
  <c r="AL17"/>
  <c r="AM17"/>
  <c r="AK17"/>
  <c r="AE17"/>
  <c r="Z17"/>
  <c r="X17"/>
  <c r="V17"/>
  <c r="N17"/>
  <c r="I17"/>
  <c r="AP16"/>
  <c r="AQ16" s="1"/>
  <c r="X16"/>
  <c r="V16"/>
  <c r="AP15"/>
  <c r="AQ15" s="1"/>
  <c r="X15"/>
  <c r="V15"/>
  <c r="AP14"/>
  <c r="AQ14" s="1"/>
  <c r="X14"/>
  <c r="V14"/>
  <c r="AP13"/>
  <c r="AQ13" s="1"/>
  <c r="X13"/>
  <c r="V13"/>
  <c r="AP12"/>
  <c r="AQ12" s="1"/>
  <c r="X12"/>
  <c r="V12"/>
  <c r="AP11"/>
  <c r="AQ11" s="1"/>
  <c r="X11"/>
  <c r="V11"/>
  <c r="AP10"/>
  <c r="AQ10" s="1"/>
  <c r="X10"/>
  <c r="V10"/>
  <c r="AP9"/>
  <c r="AQ9" s="1"/>
  <c r="X9"/>
  <c r="V9"/>
  <c r="AP8"/>
  <c r="AQ8" s="1"/>
  <c r="X8"/>
  <c r="V8"/>
  <c r="AP7"/>
  <c r="AQ7" s="1"/>
  <c r="X7"/>
  <c r="V7"/>
  <c r="AP6"/>
  <c r="AQ6" s="1"/>
  <c r="X6"/>
  <c r="V6"/>
  <c r="AO116" i="2"/>
  <c r="AP116" s="1"/>
  <c r="AK109"/>
  <c r="AK110"/>
  <c r="AK111"/>
  <c r="AK112"/>
  <c r="AK113"/>
  <c r="AK114"/>
  <c r="AK115"/>
  <c r="AK116"/>
  <c r="AI109"/>
  <c r="AI110"/>
  <c r="AI111"/>
  <c r="AI112"/>
  <c r="AI113"/>
  <c r="AI114"/>
  <c r="AI115"/>
  <c r="AI116"/>
  <c r="AD116"/>
  <c r="Y116"/>
  <c r="W116"/>
  <c r="U116"/>
  <c r="M116"/>
  <c r="H116"/>
  <c r="AO115"/>
  <c r="AP115" s="1"/>
  <c r="W115"/>
  <c r="U115"/>
  <c r="AO114"/>
  <c r="AP114" s="1"/>
  <c r="W114"/>
  <c r="U114"/>
  <c r="AO113"/>
  <c r="AP113" s="1"/>
  <c r="W113"/>
  <c r="U113"/>
  <c r="AO112"/>
  <c r="AP112" s="1"/>
  <c r="W112"/>
  <c r="U112"/>
  <c r="AO111"/>
  <c r="AP111" s="1"/>
  <c r="W111"/>
  <c r="U111"/>
  <c r="AO110"/>
  <c r="AP110" s="1"/>
  <c r="W110"/>
  <c r="U110"/>
  <c r="AO109"/>
  <c r="AP109" s="1"/>
  <c r="W109"/>
  <c r="U109"/>
  <c r="AO108"/>
  <c r="AP108" s="1"/>
  <c r="AK101"/>
  <c r="AK102"/>
  <c r="AK103"/>
  <c r="AK104"/>
  <c r="AK105"/>
  <c r="AK106"/>
  <c r="AK107"/>
  <c r="AK108"/>
  <c r="AI101"/>
  <c r="AI102"/>
  <c r="AI103"/>
  <c r="AI104"/>
  <c r="AI105"/>
  <c r="AI106"/>
  <c r="AI107"/>
  <c r="AI108"/>
  <c r="AD108"/>
  <c r="Y108"/>
  <c r="W108"/>
  <c r="U108"/>
  <c r="M108"/>
  <c r="H108"/>
  <c r="AO107"/>
  <c r="AP107" s="1"/>
  <c r="W107"/>
  <c r="U107"/>
  <c r="AO106"/>
  <c r="AP106" s="1"/>
  <c r="W106"/>
  <c r="U106"/>
  <c r="AO105"/>
  <c r="AP105" s="1"/>
  <c r="W105"/>
  <c r="U105"/>
  <c r="AO104"/>
  <c r="AP104" s="1"/>
  <c r="W104"/>
  <c r="U104"/>
  <c r="AO103"/>
  <c r="AP103" s="1"/>
  <c r="W103"/>
  <c r="U103"/>
  <c r="AO102"/>
  <c r="AP102" s="1"/>
  <c r="W102"/>
  <c r="U102"/>
  <c r="AO101"/>
  <c r="AP101" s="1"/>
  <c r="W101"/>
  <c r="U101"/>
  <c r="AO100"/>
  <c r="AP100" s="1"/>
  <c r="AK93"/>
  <c r="AK94"/>
  <c r="AK95"/>
  <c r="AK96"/>
  <c r="AK97"/>
  <c r="AK98"/>
  <c r="AK99"/>
  <c r="AK100"/>
  <c r="AI93"/>
  <c r="AI94"/>
  <c r="AI95"/>
  <c r="AI96"/>
  <c r="AI97"/>
  <c r="AI98"/>
  <c r="AI99"/>
  <c r="AI100"/>
  <c r="AD100"/>
  <c r="Y100"/>
  <c r="W100"/>
  <c r="U100"/>
  <c r="M100"/>
  <c r="H100"/>
  <c r="AO99"/>
  <c r="AP99" s="1"/>
  <c r="W99"/>
  <c r="U99"/>
  <c r="AO98"/>
  <c r="AP98" s="1"/>
  <c r="W98"/>
  <c r="U98"/>
  <c r="AO97"/>
  <c r="AP97" s="1"/>
  <c r="W97"/>
  <c r="U97"/>
  <c r="AO96"/>
  <c r="AP96" s="1"/>
  <c r="W96"/>
  <c r="U96"/>
  <c r="AO95"/>
  <c r="AP95" s="1"/>
  <c r="W95"/>
  <c r="U95"/>
  <c r="AO94"/>
  <c r="AP94" s="1"/>
  <c r="W94"/>
  <c r="U94"/>
  <c r="AO93"/>
  <c r="AP93" s="1"/>
  <c r="W93"/>
  <c r="U93"/>
  <c r="AO92"/>
  <c r="AP92" s="1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D92"/>
  <c r="Y92"/>
  <c r="W92"/>
  <c r="U92"/>
  <c r="M92"/>
  <c r="H92"/>
  <c r="AO91"/>
  <c r="AP91" s="1"/>
  <c r="W91"/>
  <c r="U91"/>
  <c r="AO90"/>
  <c r="AP90" s="1"/>
  <c r="W90"/>
  <c r="U90"/>
  <c r="AO89"/>
  <c r="AP89" s="1"/>
  <c r="W89"/>
  <c r="U89"/>
  <c r="AO88"/>
  <c r="AP88" s="1"/>
  <c r="W88"/>
  <c r="U88"/>
  <c r="AO87"/>
  <c r="AP87" s="1"/>
  <c r="W87"/>
  <c r="U87"/>
  <c r="AO86"/>
  <c r="AP86" s="1"/>
  <c r="W86"/>
  <c r="U86"/>
  <c r="AO85"/>
  <c r="AP85" s="1"/>
  <c r="W85"/>
  <c r="U85"/>
  <c r="AO84"/>
  <c r="AP84" s="1"/>
  <c r="W84"/>
  <c r="U84"/>
  <c r="AO83"/>
  <c r="AP83" s="1"/>
  <c r="W83"/>
  <c r="U83"/>
  <c r="AO82"/>
  <c r="AP82" s="1"/>
  <c r="W82"/>
  <c r="U82"/>
  <c r="K73"/>
  <c r="K74"/>
  <c r="K75"/>
  <c r="K76"/>
  <c r="K77"/>
  <c r="K78"/>
  <c r="K79"/>
  <c r="K80"/>
  <c r="K81"/>
  <c r="K82"/>
  <c r="H82"/>
  <c r="AO81"/>
  <c r="AP81" s="1"/>
  <c r="W81"/>
  <c r="U81"/>
  <c r="AO80"/>
  <c r="AP80" s="1"/>
  <c r="W80"/>
  <c r="U80"/>
  <c r="AO79"/>
  <c r="AP79" s="1"/>
  <c r="W79"/>
  <c r="U79"/>
  <c r="AO78"/>
  <c r="AP78" s="1"/>
  <c r="W78"/>
  <c r="U78"/>
  <c r="AO77"/>
  <c r="AP77" s="1"/>
  <c r="W77"/>
  <c r="U77"/>
  <c r="AO76"/>
  <c r="AP76" s="1"/>
  <c r="W76"/>
  <c r="U76"/>
  <c r="AO75"/>
  <c r="AP75" s="1"/>
  <c r="W75"/>
  <c r="U75"/>
  <c r="AO74"/>
  <c r="AP74" s="1"/>
  <c r="W74"/>
  <c r="U74"/>
  <c r="AO73"/>
  <c r="AP73" s="1"/>
  <c r="W73"/>
  <c r="U73"/>
  <c r="AO72"/>
  <c r="AP72" s="1"/>
  <c r="AK61"/>
  <c r="AK62"/>
  <c r="AK63"/>
  <c r="AK64"/>
  <c r="AK65"/>
  <c r="AK66"/>
  <c r="AK67"/>
  <c r="AK68"/>
  <c r="AK69"/>
  <c r="AK70"/>
  <c r="AK71"/>
  <c r="AK72"/>
  <c r="AI61"/>
  <c r="AI62"/>
  <c r="AI63"/>
  <c r="AI64"/>
  <c r="AI65"/>
  <c r="AI66"/>
  <c r="AI67"/>
  <c r="AI68"/>
  <c r="AI69"/>
  <c r="AI70"/>
  <c r="AI71"/>
  <c r="AI72"/>
  <c r="AD72"/>
  <c r="Y72"/>
  <c r="W72"/>
  <c r="U72"/>
  <c r="K63"/>
  <c r="K141" s="1"/>
  <c r="K142" s="1"/>
  <c r="K64"/>
  <c r="K65"/>
  <c r="K66"/>
  <c r="K67"/>
  <c r="K68"/>
  <c r="K69"/>
  <c r="K70"/>
  <c r="K71"/>
  <c r="K72"/>
  <c r="L72"/>
  <c r="H72"/>
  <c r="AO71"/>
  <c r="AP71" s="1"/>
  <c r="W71"/>
  <c r="U71"/>
  <c r="L71"/>
  <c r="AO70"/>
  <c r="AP70" s="1"/>
  <c r="W70"/>
  <c r="U70"/>
  <c r="L70"/>
  <c r="AO69"/>
  <c r="AP69" s="1"/>
  <c r="W69"/>
  <c r="U69"/>
  <c r="L69"/>
  <c r="AO68"/>
  <c r="AP68" s="1"/>
  <c r="W68"/>
  <c r="U68"/>
  <c r="L68"/>
  <c r="AO67"/>
  <c r="AP67" s="1"/>
  <c r="W67"/>
  <c r="U67"/>
  <c r="L67"/>
  <c r="AO66"/>
  <c r="AP66" s="1"/>
  <c r="W66"/>
  <c r="U66"/>
  <c r="L66"/>
  <c r="AO65"/>
  <c r="AP65" s="1"/>
  <c r="W65"/>
  <c r="U65"/>
  <c r="L65"/>
  <c r="AO64"/>
  <c r="AP64" s="1"/>
  <c r="W64"/>
  <c r="U64"/>
  <c r="L64"/>
  <c r="AO63"/>
  <c r="AP63" s="1"/>
  <c r="W63"/>
  <c r="U63"/>
  <c r="L63"/>
  <c r="AO62"/>
  <c r="AP62" s="1"/>
  <c r="W62"/>
  <c r="U62"/>
  <c r="AO61"/>
  <c r="AP61" s="1"/>
  <c r="W61"/>
  <c r="U61"/>
  <c r="AO60"/>
  <c r="AP60" s="1"/>
  <c r="AK51"/>
  <c r="AK52"/>
  <c r="AK53"/>
  <c r="AK54"/>
  <c r="AK55"/>
  <c r="AK56"/>
  <c r="AK57"/>
  <c r="AK58"/>
  <c r="AK59"/>
  <c r="AK60"/>
  <c r="AI51"/>
  <c r="AI52"/>
  <c r="AI53"/>
  <c r="AI54"/>
  <c r="AI55"/>
  <c r="AI56"/>
  <c r="AI57"/>
  <c r="AI58"/>
  <c r="AI59"/>
  <c r="AI60"/>
  <c r="AD60"/>
  <c r="Y60"/>
  <c r="W60"/>
  <c r="U60"/>
  <c r="M60"/>
  <c r="H60"/>
  <c r="AO59"/>
  <c r="AP59" s="1"/>
  <c r="W59"/>
  <c r="U59"/>
  <c r="AO58"/>
  <c r="AP58" s="1"/>
  <c r="W58"/>
  <c r="U58"/>
  <c r="AO57"/>
  <c r="AP57" s="1"/>
  <c r="W57"/>
  <c r="U57"/>
  <c r="AO56"/>
  <c r="AP56" s="1"/>
  <c r="W56"/>
  <c r="U56"/>
  <c r="AO55"/>
  <c r="AP55" s="1"/>
  <c r="W55"/>
  <c r="U55"/>
  <c r="AO54"/>
  <c r="AP54" s="1"/>
  <c r="W54"/>
  <c r="U54"/>
  <c r="AO53"/>
  <c r="AP53" s="1"/>
  <c r="W53"/>
  <c r="U53"/>
  <c r="AO52"/>
  <c r="AP52" s="1"/>
  <c r="W52"/>
  <c r="U52"/>
  <c r="AO51"/>
  <c r="AP51" s="1"/>
  <c r="W51"/>
  <c r="U51"/>
  <c r="AO50"/>
  <c r="AP50" s="1"/>
  <c r="AK39"/>
  <c r="AK40"/>
  <c r="AK41"/>
  <c r="AK42"/>
  <c r="AK43"/>
  <c r="AK44"/>
  <c r="AK45"/>
  <c r="AK46"/>
  <c r="AK47"/>
  <c r="AK48"/>
  <c r="AK49"/>
  <c r="AK50"/>
  <c r="AJ50"/>
  <c r="AD50"/>
  <c r="Y50"/>
  <c r="W50"/>
  <c r="U50"/>
  <c r="M50"/>
  <c r="H50"/>
  <c r="AO49"/>
  <c r="AP49" s="1"/>
  <c r="W49"/>
  <c r="U49"/>
  <c r="AO48"/>
  <c r="AP48" s="1"/>
  <c r="W48"/>
  <c r="U48"/>
  <c r="AO47"/>
  <c r="AP47" s="1"/>
  <c r="W47"/>
  <c r="U47"/>
  <c r="AO46"/>
  <c r="AP46" s="1"/>
  <c r="W46"/>
  <c r="U46"/>
  <c r="AO45"/>
  <c r="AP45" s="1"/>
  <c r="W45"/>
  <c r="U45"/>
  <c r="AO44"/>
  <c r="AP44" s="1"/>
  <c r="W44"/>
  <c r="U44"/>
  <c r="AO43"/>
  <c r="AP43" s="1"/>
  <c r="W43"/>
  <c r="U43"/>
  <c r="AO42"/>
  <c r="AP42" s="1"/>
  <c r="W42"/>
  <c r="U42"/>
  <c r="AO41"/>
  <c r="AP41" s="1"/>
  <c r="W41"/>
  <c r="U41"/>
  <c r="AO40"/>
  <c r="AP40" s="1"/>
  <c r="W40"/>
  <c r="U40"/>
  <c r="AO39"/>
  <c r="AP39" s="1"/>
  <c r="W39"/>
  <c r="U39"/>
  <c r="AO38"/>
  <c r="AP38" s="1"/>
  <c r="AK27"/>
  <c r="AK28"/>
  <c r="AK29"/>
  <c r="AK30"/>
  <c r="AK31"/>
  <c r="AK32"/>
  <c r="AK33"/>
  <c r="AK34"/>
  <c r="AK35"/>
  <c r="AK36"/>
  <c r="AK37"/>
  <c r="AK38"/>
  <c r="AJ38"/>
  <c r="AD38"/>
  <c r="Y38"/>
  <c r="W38"/>
  <c r="U38"/>
  <c r="M38"/>
  <c r="H38"/>
  <c r="AO37"/>
  <c r="AP37" s="1"/>
  <c r="W37"/>
  <c r="U37"/>
  <c r="AO36"/>
  <c r="AP36" s="1"/>
  <c r="W36"/>
  <c r="U36"/>
  <c r="AO35"/>
  <c r="AP35" s="1"/>
  <c r="W35"/>
  <c r="U35"/>
  <c r="AO34"/>
  <c r="AP34" s="1"/>
  <c r="W34"/>
  <c r="U34"/>
  <c r="AO33"/>
  <c r="AP33" s="1"/>
  <c r="W33"/>
  <c r="U33"/>
  <c r="AO32"/>
  <c r="AP32" s="1"/>
  <c r="W32"/>
  <c r="U32"/>
  <c r="AO31"/>
  <c r="AP31" s="1"/>
  <c r="W31"/>
  <c r="U31"/>
  <c r="AO30"/>
  <c r="AP30" s="1"/>
  <c r="W30"/>
  <c r="U30"/>
  <c r="AO29"/>
  <c r="AP29" s="1"/>
  <c r="W29"/>
  <c r="U29"/>
  <c r="AO28"/>
  <c r="AP28" s="1"/>
  <c r="W28"/>
  <c r="U28"/>
  <c r="AO27"/>
  <c r="AP27" s="1"/>
  <c r="W27"/>
  <c r="U27"/>
  <c r="AO26"/>
  <c r="AP26" s="1"/>
  <c r="AK17"/>
  <c r="AK18"/>
  <c r="AK19"/>
  <c r="AK20"/>
  <c r="AK21"/>
  <c r="AK22"/>
  <c r="AK23"/>
  <c r="AK24"/>
  <c r="AK25"/>
  <c r="AK26"/>
  <c r="AJ26"/>
  <c r="AD26"/>
  <c r="Y26"/>
  <c r="W26"/>
  <c r="U26"/>
  <c r="M26"/>
  <c r="H26"/>
  <c r="AO25"/>
  <c r="AP25" s="1"/>
  <c r="W25"/>
  <c r="U25"/>
  <c r="AO24"/>
  <c r="AP24" s="1"/>
  <c r="W24"/>
  <c r="U24"/>
  <c r="AO23"/>
  <c r="AP23" s="1"/>
  <c r="W23"/>
  <c r="U23"/>
  <c r="AO22"/>
  <c r="AP22" s="1"/>
  <c r="W22"/>
  <c r="U22"/>
  <c r="AO21"/>
  <c r="AP21" s="1"/>
  <c r="W21"/>
  <c r="U21"/>
  <c r="AO20"/>
  <c r="AP20" s="1"/>
  <c r="W20"/>
  <c r="U20"/>
  <c r="AO19"/>
  <c r="AP19" s="1"/>
  <c r="W19"/>
  <c r="U19"/>
  <c r="AO18"/>
  <c r="AP18" s="1"/>
  <c r="W18"/>
  <c r="U18"/>
  <c r="AO17"/>
  <c r="AP17" s="1"/>
  <c r="W17"/>
  <c r="U17"/>
  <c r="AO16"/>
  <c r="AP16" s="1"/>
  <c r="AK5"/>
  <c r="AK6"/>
  <c r="AK7"/>
  <c r="AK8"/>
  <c r="AK9"/>
  <c r="AK10"/>
  <c r="AK11"/>
  <c r="AK12"/>
  <c r="AK13"/>
  <c r="AK14"/>
  <c r="AK15"/>
  <c r="AK16"/>
  <c r="AJ16"/>
  <c r="AD16"/>
  <c r="Y16"/>
  <c r="W16"/>
  <c r="U16"/>
  <c r="M16"/>
  <c r="H16"/>
  <c r="AO15"/>
  <c r="AP15" s="1"/>
  <c r="W15"/>
  <c r="U15"/>
  <c r="AO14"/>
  <c r="AP14" s="1"/>
  <c r="W14"/>
  <c r="U14"/>
  <c r="AO13"/>
  <c r="AP13" s="1"/>
  <c r="W13"/>
  <c r="U13"/>
  <c r="AO12"/>
  <c r="AP12" s="1"/>
  <c r="W12"/>
  <c r="U12"/>
  <c r="AO11"/>
  <c r="AP11" s="1"/>
  <c r="W11"/>
  <c r="U11"/>
  <c r="AO10"/>
  <c r="AP10" s="1"/>
  <c r="W10"/>
  <c r="U10"/>
  <c r="AO9"/>
  <c r="AP9" s="1"/>
  <c r="W9"/>
  <c r="U9"/>
  <c r="AO8"/>
  <c r="AP8" s="1"/>
  <c r="W8"/>
  <c r="U8"/>
  <c r="AO7"/>
  <c r="AP7" s="1"/>
  <c r="W7"/>
  <c r="U7"/>
  <c r="AO6"/>
  <c r="AP6" s="1"/>
  <c r="W6"/>
  <c r="U6"/>
  <c r="AO5"/>
  <c r="AP5" s="1"/>
  <c r="AP141" s="1"/>
  <c r="W5"/>
  <c r="U5"/>
  <c r="AL116" l="1"/>
  <c r="AL72"/>
  <c r="AL60"/>
  <c r="M82"/>
  <c r="AL50"/>
  <c r="M72"/>
  <c r="AL100"/>
  <c r="AL16"/>
  <c r="AL26"/>
  <c r="AJ108"/>
  <c r="AJ116"/>
  <c r="AL38"/>
  <c r="AJ92"/>
  <c r="AJ100"/>
  <c r="AL108"/>
  <c r="AJ60"/>
  <c r="AJ72"/>
  <c r="AL92"/>
</calcChain>
</file>

<file path=xl/sharedStrings.xml><?xml version="1.0" encoding="utf-8"?>
<sst xmlns="http://schemas.openxmlformats.org/spreadsheetml/2006/main" count="1178" uniqueCount="81">
  <si>
    <t>Wychmere Harbor</t>
  </si>
  <si>
    <t>Total</t>
  </si>
  <si>
    <t>Secchi</t>
  </si>
  <si>
    <t>Measurement</t>
  </si>
  <si>
    <t>Wind</t>
  </si>
  <si>
    <t>Water</t>
  </si>
  <si>
    <t>Salinity</t>
  </si>
  <si>
    <t>Chl-a</t>
  </si>
  <si>
    <t>Phaeo</t>
  </si>
  <si>
    <t>TN</t>
  </si>
  <si>
    <t>Station No.</t>
  </si>
  <si>
    <t>Depth ID</t>
  </si>
  <si>
    <t>Alternate Name</t>
  </si>
  <si>
    <t>Date</t>
  </si>
  <si>
    <t>Time</t>
  </si>
  <si>
    <t>Depth (m)</t>
  </si>
  <si>
    <t xml:space="preserve"> Depth (m)</t>
  </si>
  <si>
    <t>Means</t>
  </si>
  <si>
    <t>Temp C</t>
  </si>
  <si>
    <t>D.O. mg/L</t>
  </si>
  <si>
    <t>% D.O.</t>
  </si>
  <si>
    <t>Weather</t>
  </si>
  <si>
    <t>Beaufort</t>
  </si>
  <si>
    <t>Direction</t>
  </si>
  <si>
    <t xml:space="preserve"> Condition</t>
  </si>
  <si>
    <t>(ppt)</t>
  </si>
  <si>
    <r>
      <t>uM PO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3-</t>
    </r>
  </si>
  <si>
    <r>
      <t>uM NH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+</t>
    </r>
  </si>
  <si>
    <t>mg/L NH4</t>
  </si>
  <si>
    <r>
      <t>uM NO</t>
    </r>
    <r>
      <rPr>
        <b/>
        <u/>
        <vertAlign val="subscript"/>
        <sz val="10"/>
        <rFont val="Arial"/>
        <family val="2"/>
      </rPr>
      <t>x</t>
    </r>
  </si>
  <si>
    <t>mg/L NO3</t>
  </si>
  <si>
    <t>uM DIN</t>
  </si>
  <si>
    <t>uM DON</t>
  </si>
  <si>
    <t>ug/L</t>
  </si>
  <si>
    <t>Chl A</t>
  </si>
  <si>
    <t>Ratio</t>
  </si>
  <si>
    <t>POC (uM)</t>
  </si>
  <si>
    <t>PON (uM)</t>
  </si>
  <si>
    <t>TON (uM)</t>
  </si>
  <si>
    <t>TON (mg/L)</t>
  </si>
  <si>
    <t>Mean</t>
  </si>
  <si>
    <t>C/N Ratio</t>
  </si>
  <si>
    <t>(uM)</t>
  </si>
  <si>
    <t>S</t>
  </si>
  <si>
    <t>B</t>
  </si>
  <si>
    <t>3A</t>
  </si>
  <si>
    <t>Ave/mid</t>
  </si>
  <si>
    <t>ND</t>
  </si>
  <si>
    <t>Drizzle</t>
  </si>
  <si>
    <t>Clear</t>
  </si>
  <si>
    <t>NE</t>
  </si>
  <si>
    <t>Overcast</t>
  </si>
  <si>
    <t>N</t>
  </si>
  <si>
    <t>SW</t>
  </si>
  <si>
    <t>NW</t>
  </si>
  <si>
    <t>Partly Cloudy</t>
  </si>
  <si>
    <t>Fog/Haze</t>
  </si>
  <si>
    <t>Cloudy</t>
  </si>
  <si>
    <t>Rain</t>
  </si>
  <si>
    <t>SE</t>
  </si>
  <si>
    <t>&lt;0.05</t>
  </si>
  <si>
    <t>E</t>
  </si>
  <si>
    <t>Muddy</t>
  </si>
  <si>
    <t>clear</t>
  </si>
  <si>
    <t>W</t>
  </si>
  <si>
    <t>M</t>
  </si>
  <si>
    <t>overcast</t>
  </si>
  <si>
    <t>cloudy</t>
  </si>
  <si>
    <t xml:space="preserve">W </t>
  </si>
  <si>
    <t xml:space="preserve">S </t>
  </si>
  <si>
    <t>(mg/L)</t>
  </si>
  <si>
    <t>Means (D.O.)</t>
  </si>
  <si>
    <t>TDN (mg/L)</t>
  </si>
  <si>
    <t>cloudy/algae/plants</t>
  </si>
  <si>
    <t>Station</t>
  </si>
  <si>
    <t>algae/plants</t>
  </si>
  <si>
    <t>TDN</t>
  </si>
  <si>
    <t>&lt;0.1</t>
  </si>
  <si>
    <t>CLOUDY</t>
  </si>
  <si>
    <t>SSE</t>
  </si>
  <si>
    <t>SSW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</si>
</sst>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0"/>
    <numFmt numFmtId="166" formatCode="m/d/yy;@"/>
    <numFmt numFmtId="167" formatCode="h:mm;@"/>
    <numFmt numFmtId="168" formatCode="[$-409]h:mm\ AM/PM;@"/>
    <numFmt numFmtId="169" formatCode="0.0%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vertAlign val="subscript"/>
      <sz val="10"/>
      <name val="Arial"/>
      <family val="2"/>
    </font>
    <font>
      <b/>
      <u/>
      <vertAlign val="superscript"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164" fontId="0" fillId="0" borderId="0" xfId="0" quotePrefix="1" applyNumberFormat="1" applyBorder="1" applyAlignment="1" applyProtection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0" xfId="1" applyNumberFormat="1" applyFont="1" applyFill="1" applyBorder="1" applyAlignment="1" applyProtection="1">
      <alignment horizontal="center"/>
    </xf>
    <xf numFmtId="2" fontId="0" fillId="0" borderId="0" xfId="1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168" fontId="0" fillId="0" borderId="0" xfId="0" applyNumberForma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8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" fontId="6" fillId="0" borderId="0" xfId="0" quotePrefix="1" applyNumberFormat="1" applyFont="1" applyBorder="1" applyAlignment="1">
      <alignment horizontal="center"/>
    </xf>
    <xf numFmtId="2" fontId="4" fillId="0" borderId="0" xfId="0" quotePrefix="1" applyNumberFormat="1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quotePrefix="1" applyNumberForma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167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9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2" fontId="4" fillId="0" borderId="0" xfId="0" quotePrefix="1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/>
    </xf>
    <xf numFmtId="1" fontId="6" fillId="0" borderId="1" xfId="0" quotePrefix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9" fontId="4" fillId="0" borderId="1" xfId="1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1" xfId="0" quotePrefix="1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4" fillId="0" borderId="0" xfId="0" quotePrefix="1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quotePrefix="1" applyNumberFormat="1" applyFont="1" applyFill="1" applyBorder="1" applyAlignment="1">
      <alignment horizontal="center"/>
    </xf>
    <xf numFmtId="169" fontId="1" fillId="0" borderId="0" xfId="1" applyNumberFormat="1" applyFont="1" applyAlignment="1">
      <alignment horizontal="center"/>
    </xf>
    <xf numFmtId="169" fontId="1" fillId="0" borderId="0" xfId="1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1" fillId="0" borderId="0" xfId="1" quotePrefix="1" applyNumberFormat="1" applyFont="1" applyFill="1" applyBorder="1" applyAlignment="1" applyProtection="1">
      <alignment horizontal="center"/>
    </xf>
    <xf numFmtId="2" fontId="1" fillId="0" borderId="0" xfId="1" quotePrefix="1" applyNumberFormat="1" applyFont="1" applyFill="1" applyBorder="1" applyAlignment="1" applyProtection="1">
      <alignment horizontal="center"/>
    </xf>
    <xf numFmtId="9" fontId="1" fillId="0" borderId="0" xfId="1" applyFont="1" applyFill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64" fontId="4" fillId="0" borderId="0" xfId="0" quotePrefix="1" applyNumberFormat="1" applyFont="1" applyFill="1" applyBorder="1" applyAlignment="1">
      <alignment horizontal="center"/>
    </xf>
    <xf numFmtId="2" fontId="4" fillId="0" borderId="0" xfId="0" quotePrefix="1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Wychmere Harbor - Surface 
Total Nitrogen</a:t>
            </a:r>
          </a:p>
        </c:rich>
      </c:tx>
      <c:layout>
        <c:manualLayout>
          <c:xMode val="edge"/>
          <c:yMode val="edge"/>
          <c:x val="0.37957824639289711"/>
          <c:y val="1.95758564437194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01331853496151E-2"/>
          <c:y val="0.15660685154975529"/>
          <c:w val="0.88457269700332952"/>
          <c:h val="0.77650897226753701"/>
        </c:manualLayout>
      </c:layout>
      <c:scatterChart>
        <c:scatterStyle val="lineMarker"/>
        <c:ser>
          <c:idx val="0"/>
          <c:order val="0"/>
          <c:tx>
            <c:strRef>
              <c:f>Data!$AP$3</c:f>
              <c:strCache>
                <c:ptCount val="1"/>
                <c:pt idx="0">
                  <c:v>TN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Data!$D$4:$D$140</c:f>
              <c:numCache>
                <c:formatCode>m/d/yy;@</c:formatCode>
                <c:ptCount val="137"/>
                <c:pt idx="1">
                  <c:v>37097</c:v>
                </c:pt>
                <c:pt idx="2">
                  <c:v>37097</c:v>
                </c:pt>
                <c:pt idx="3">
                  <c:v>37097</c:v>
                </c:pt>
                <c:pt idx="4">
                  <c:v>37112</c:v>
                </c:pt>
                <c:pt idx="5">
                  <c:v>37112</c:v>
                </c:pt>
                <c:pt idx="6">
                  <c:v>37112</c:v>
                </c:pt>
                <c:pt idx="7">
                  <c:v>37126</c:v>
                </c:pt>
                <c:pt idx="8">
                  <c:v>37126</c:v>
                </c:pt>
                <c:pt idx="9">
                  <c:v>37126</c:v>
                </c:pt>
                <c:pt idx="10">
                  <c:v>37140</c:v>
                </c:pt>
                <c:pt idx="11">
                  <c:v>37140</c:v>
                </c:pt>
                <c:pt idx="12">
                  <c:v>37140</c:v>
                </c:pt>
                <c:pt idx="13">
                  <c:v>37419</c:v>
                </c:pt>
                <c:pt idx="14">
                  <c:v>37419</c:v>
                </c:pt>
                <c:pt idx="15">
                  <c:v>37448</c:v>
                </c:pt>
                <c:pt idx="16">
                  <c:v>37448</c:v>
                </c:pt>
                <c:pt idx="17">
                  <c:v>37462</c:v>
                </c:pt>
                <c:pt idx="18">
                  <c:v>37462</c:v>
                </c:pt>
                <c:pt idx="19">
                  <c:v>37481</c:v>
                </c:pt>
                <c:pt idx="20">
                  <c:v>37481</c:v>
                </c:pt>
                <c:pt idx="21">
                  <c:v>37525</c:v>
                </c:pt>
                <c:pt idx="22">
                  <c:v>37525</c:v>
                </c:pt>
                <c:pt idx="23">
                  <c:v>37789</c:v>
                </c:pt>
                <c:pt idx="24">
                  <c:v>37789</c:v>
                </c:pt>
                <c:pt idx="25">
                  <c:v>37805</c:v>
                </c:pt>
                <c:pt idx="26">
                  <c:v>37805</c:v>
                </c:pt>
                <c:pt idx="27">
                  <c:v>37819</c:v>
                </c:pt>
                <c:pt idx="28">
                  <c:v>37819</c:v>
                </c:pt>
                <c:pt idx="29">
                  <c:v>37838</c:v>
                </c:pt>
                <c:pt idx="30">
                  <c:v>37838</c:v>
                </c:pt>
                <c:pt idx="31">
                  <c:v>37852</c:v>
                </c:pt>
                <c:pt idx="32">
                  <c:v>37852</c:v>
                </c:pt>
                <c:pt idx="33">
                  <c:v>37867</c:v>
                </c:pt>
                <c:pt idx="34">
                  <c:v>37867</c:v>
                </c:pt>
                <c:pt idx="35">
                  <c:v>38161</c:v>
                </c:pt>
                <c:pt idx="36">
                  <c:v>38161</c:v>
                </c:pt>
                <c:pt idx="37">
                  <c:v>38175</c:v>
                </c:pt>
                <c:pt idx="38">
                  <c:v>38175</c:v>
                </c:pt>
                <c:pt idx="39">
                  <c:v>38190</c:v>
                </c:pt>
                <c:pt idx="40">
                  <c:v>38190</c:v>
                </c:pt>
                <c:pt idx="41">
                  <c:v>38204</c:v>
                </c:pt>
                <c:pt idx="42">
                  <c:v>38204</c:v>
                </c:pt>
                <c:pt idx="43">
                  <c:v>38218</c:v>
                </c:pt>
                <c:pt idx="44">
                  <c:v>38218</c:v>
                </c:pt>
                <c:pt idx="45">
                  <c:v>38237</c:v>
                </c:pt>
                <c:pt idx="46">
                  <c:v>38237</c:v>
                </c:pt>
                <c:pt idx="47">
                  <c:v>38517</c:v>
                </c:pt>
                <c:pt idx="48">
                  <c:v>38517</c:v>
                </c:pt>
                <c:pt idx="49">
                  <c:v>38546</c:v>
                </c:pt>
                <c:pt idx="50">
                  <c:v>38546</c:v>
                </c:pt>
                <c:pt idx="51">
                  <c:v>38559</c:v>
                </c:pt>
                <c:pt idx="52">
                  <c:v>38559</c:v>
                </c:pt>
                <c:pt idx="53">
                  <c:v>38574</c:v>
                </c:pt>
                <c:pt idx="54">
                  <c:v>38574</c:v>
                </c:pt>
                <c:pt idx="55">
                  <c:v>38588</c:v>
                </c:pt>
                <c:pt idx="56">
                  <c:v>38603</c:v>
                </c:pt>
                <c:pt idx="57">
                  <c:v>38888</c:v>
                </c:pt>
                <c:pt idx="58">
                  <c:v>38888</c:v>
                </c:pt>
                <c:pt idx="59">
                  <c:v>38903</c:v>
                </c:pt>
                <c:pt idx="60">
                  <c:v>38903</c:v>
                </c:pt>
                <c:pt idx="61">
                  <c:v>38917</c:v>
                </c:pt>
                <c:pt idx="62">
                  <c:v>38917</c:v>
                </c:pt>
                <c:pt idx="63">
                  <c:v>38931</c:v>
                </c:pt>
                <c:pt idx="64">
                  <c:v>38931</c:v>
                </c:pt>
                <c:pt idx="65">
                  <c:v>38945</c:v>
                </c:pt>
                <c:pt idx="66">
                  <c:v>38945</c:v>
                </c:pt>
                <c:pt idx="67">
                  <c:v>38973</c:v>
                </c:pt>
                <c:pt idx="68">
                  <c:v>38973</c:v>
                </c:pt>
                <c:pt idx="69">
                  <c:v>39254</c:v>
                </c:pt>
                <c:pt idx="70">
                  <c:v>39254</c:v>
                </c:pt>
                <c:pt idx="71">
                  <c:v>39282</c:v>
                </c:pt>
                <c:pt idx="72">
                  <c:v>39282</c:v>
                </c:pt>
                <c:pt idx="73">
                  <c:v>39301</c:v>
                </c:pt>
                <c:pt idx="74">
                  <c:v>39301</c:v>
                </c:pt>
                <c:pt idx="75">
                  <c:v>39315</c:v>
                </c:pt>
                <c:pt idx="76">
                  <c:v>39315</c:v>
                </c:pt>
                <c:pt idx="77">
                  <c:v>39343</c:v>
                </c:pt>
                <c:pt idx="78">
                  <c:v>39343</c:v>
                </c:pt>
                <c:pt idx="79">
                  <c:v>39638</c:v>
                </c:pt>
                <c:pt idx="80">
                  <c:v>39638</c:v>
                </c:pt>
                <c:pt idx="81">
                  <c:v>39653</c:v>
                </c:pt>
                <c:pt idx="82">
                  <c:v>39653</c:v>
                </c:pt>
                <c:pt idx="83">
                  <c:v>39667</c:v>
                </c:pt>
                <c:pt idx="84">
                  <c:v>39667</c:v>
                </c:pt>
                <c:pt idx="85">
                  <c:v>39686</c:v>
                </c:pt>
                <c:pt idx="86">
                  <c:v>39686</c:v>
                </c:pt>
                <c:pt idx="87">
                  <c:v>39700</c:v>
                </c:pt>
                <c:pt idx="88">
                  <c:v>39700</c:v>
                </c:pt>
                <c:pt idx="89">
                  <c:v>40008</c:v>
                </c:pt>
                <c:pt idx="90">
                  <c:v>40008</c:v>
                </c:pt>
                <c:pt idx="91">
                  <c:v>40022</c:v>
                </c:pt>
                <c:pt idx="92">
                  <c:v>40022</c:v>
                </c:pt>
                <c:pt idx="93">
                  <c:v>40037</c:v>
                </c:pt>
                <c:pt idx="94">
                  <c:v>40037</c:v>
                </c:pt>
                <c:pt idx="95">
                  <c:v>40051</c:v>
                </c:pt>
                <c:pt idx="96">
                  <c:v>40051</c:v>
                </c:pt>
                <c:pt idx="97">
                  <c:v>40360</c:v>
                </c:pt>
                <c:pt idx="98">
                  <c:v>40360</c:v>
                </c:pt>
                <c:pt idx="99">
                  <c:v>40374</c:v>
                </c:pt>
                <c:pt idx="100">
                  <c:v>40374</c:v>
                </c:pt>
                <c:pt idx="101">
                  <c:v>40393</c:v>
                </c:pt>
                <c:pt idx="102">
                  <c:v>40393</c:v>
                </c:pt>
                <c:pt idx="103">
                  <c:v>40407</c:v>
                </c:pt>
                <c:pt idx="104">
                  <c:v>40407</c:v>
                </c:pt>
                <c:pt idx="105">
                  <c:v>40731</c:v>
                </c:pt>
                <c:pt idx="106">
                  <c:v>40731</c:v>
                </c:pt>
                <c:pt idx="107">
                  <c:v>40745</c:v>
                </c:pt>
                <c:pt idx="108">
                  <c:v>40745</c:v>
                </c:pt>
                <c:pt idx="109">
                  <c:v>40759</c:v>
                </c:pt>
                <c:pt idx="110">
                  <c:v>40759</c:v>
                </c:pt>
                <c:pt idx="111">
                  <c:v>40773</c:v>
                </c:pt>
                <c:pt idx="112">
                  <c:v>40773</c:v>
                </c:pt>
                <c:pt idx="113">
                  <c:v>41101</c:v>
                </c:pt>
                <c:pt idx="114">
                  <c:v>41101</c:v>
                </c:pt>
                <c:pt idx="115">
                  <c:v>41101</c:v>
                </c:pt>
                <c:pt idx="116">
                  <c:v>41115</c:v>
                </c:pt>
                <c:pt idx="117">
                  <c:v>41115</c:v>
                </c:pt>
                <c:pt idx="118">
                  <c:v>41115</c:v>
                </c:pt>
                <c:pt idx="119">
                  <c:v>41129</c:v>
                </c:pt>
                <c:pt idx="120">
                  <c:v>41129</c:v>
                </c:pt>
                <c:pt idx="121">
                  <c:v>41143</c:v>
                </c:pt>
                <c:pt idx="122">
                  <c:v>41143</c:v>
                </c:pt>
                <c:pt idx="123">
                  <c:v>41466</c:v>
                </c:pt>
                <c:pt idx="124">
                  <c:v>41466</c:v>
                </c:pt>
                <c:pt idx="125">
                  <c:v>41480</c:v>
                </c:pt>
                <c:pt idx="126">
                  <c:v>41480</c:v>
                </c:pt>
                <c:pt idx="127">
                  <c:v>41499</c:v>
                </c:pt>
                <c:pt idx="128">
                  <c:v>41499</c:v>
                </c:pt>
                <c:pt idx="129">
                  <c:v>41836</c:v>
                </c:pt>
                <c:pt idx="130">
                  <c:v>41836</c:v>
                </c:pt>
                <c:pt idx="131">
                  <c:v>41851</c:v>
                </c:pt>
                <c:pt idx="132">
                  <c:v>41851</c:v>
                </c:pt>
                <c:pt idx="133">
                  <c:v>41865</c:v>
                </c:pt>
                <c:pt idx="134">
                  <c:v>41865</c:v>
                </c:pt>
                <c:pt idx="135">
                  <c:v>41879</c:v>
                </c:pt>
                <c:pt idx="136">
                  <c:v>41879</c:v>
                </c:pt>
              </c:numCache>
            </c:numRef>
          </c:xVal>
          <c:yVal>
            <c:numRef>
              <c:f>Data!$AP$4:$AP$140</c:f>
              <c:numCache>
                <c:formatCode>0.0000</c:formatCode>
                <c:ptCount val="137"/>
                <c:pt idx="0" formatCode="General">
                  <c:v>0</c:v>
                </c:pt>
                <c:pt idx="1">
                  <c:v>2.2057000000000002</c:v>
                </c:pt>
                <c:pt idx="2">
                  <c:v>0.69076000000000004</c:v>
                </c:pt>
                <c:pt idx="3">
                  <c:v>1.4482299999999999</c:v>
                </c:pt>
                <c:pt idx="4">
                  <c:v>0.53549999999999998</c:v>
                </c:pt>
                <c:pt idx="5">
                  <c:v>0.60465999999999998</c:v>
                </c:pt>
                <c:pt idx="6">
                  <c:v>0.57008000000000003</c:v>
                </c:pt>
                <c:pt idx="7">
                  <c:v>0.71442000000000005</c:v>
                </c:pt>
                <c:pt idx="8">
                  <c:v>0.70938000000000001</c:v>
                </c:pt>
                <c:pt idx="9">
                  <c:v>0.71190000000000009</c:v>
                </c:pt>
                <c:pt idx="10">
                  <c:v>0.7033600000000001</c:v>
                </c:pt>
                <c:pt idx="11">
                  <c:v>0.64595999999999998</c:v>
                </c:pt>
                <c:pt idx="12">
                  <c:v>0.67466000000000004</c:v>
                </c:pt>
                <c:pt idx="13">
                  <c:v>0.53220324149812215</c:v>
                </c:pt>
                <c:pt idx="14">
                  <c:v>0.65946830184630434</c:v>
                </c:pt>
                <c:pt idx="15">
                  <c:v>0.88246039495986761</c:v>
                </c:pt>
                <c:pt idx="16">
                  <c:v>0.79515611558468979</c:v>
                </c:pt>
                <c:pt idx="17">
                  <c:v>0.88217839420655031</c:v>
                </c:pt>
                <c:pt idx="18">
                  <c:v>0.81602458387195409</c:v>
                </c:pt>
                <c:pt idx="19">
                  <c:v>0.68057960610446622</c:v>
                </c:pt>
                <c:pt idx="20">
                  <c:v>0.69576574488302467</c:v>
                </c:pt>
                <c:pt idx="21">
                  <c:v>0.52919540807366261</c:v>
                </c:pt>
                <c:pt idx="22">
                  <c:v>0.64446062210594324</c:v>
                </c:pt>
                <c:pt idx="23">
                  <c:v>0.63407915127186221</c:v>
                </c:pt>
                <c:pt idx="24">
                  <c:v>0.38619730462173135</c:v>
                </c:pt>
                <c:pt idx="25">
                  <c:v>0.72948147164300936</c:v>
                </c:pt>
                <c:pt idx="26">
                  <c:v>0.4563971262834452</c:v>
                </c:pt>
                <c:pt idx="27">
                  <c:v>0.96752864627814028</c:v>
                </c:pt>
                <c:pt idx="28">
                  <c:v>0.58290728849435769</c:v>
                </c:pt>
                <c:pt idx="29">
                  <c:v>0.7239464607925149</c:v>
                </c:pt>
                <c:pt idx="30">
                  <c:v>0.94669803945703357</c:v>
                </c:pt>
                <c:pt idx="31">
                  <c:v>1.0680922978315355</c:v>
                </c:pt>
                <c:pt idx="32">
                  <c:v>0.91733326316286945</c:v>
                </c:pt>
                <c:pt idx="33">
                  <c:v>1.7465645967077674</c:v>
                </c:pt>
                <c:pt idx="34">
                  <c:v>0.56055043714417563</c:v>
                </c:pt>
                <c:pt idx="35">
                  <c:v>0.95093460768580895</c:v>
                </c:pt>
                <c:pt idx="36">
                  <c:v>0.94989812699911369</c:v>
                </c:pt>
                <c:pt idx="37">
                  <c:v>1.0623914164609556</c:v>
                </c:pt>
                <c:pt idx="38">
                  <c:v>0.39383925158588312</c:v>
                </c:pt>
                <c:pt idx="39">
                  <c:v>1.3714742374642312</c:v>
                </c:pt>
                <c:pt idx="40">
                  <c:v>0.47782472647407637</c:v>
                </c:pt>
                <c:pt idx="41">
                  <c:v>1.1678794526024885</c:v>
                </c:pt>
                <c:pt idx="42">
                  <c:v>0.26187215283836107</c:v>
                </c:pt>
                <c:pt idx="43">
                  <c:v>0.57452497020710691</c:v>
                </c:pt>
                <c:pt idx="44">
                  <c:v>0.33140571775216759</c:v>
                </c:pt>
                <c:pt idx="45">
                  <c:v>1.1463553616765048</c:v>
                </c:pt>
                <c:pt idx="46">
                  <c:v>0.31150603069899024</c:v>
                </c:pt>
                <c:pt idx="47">
                  <c:v>0.53789839557348207</c:v>
                </c:pt>
                <c:pt idx="48">
                  <c:v>0.97518302046131389</c:v>
                </c:pt>
                <c:pt idx="49">
                  <c:v>0.54728387870633044</c:v>
                </c:pt>
                <c:pt idx="50">
                  <c:v>0.61707739201472722</c:v>
                </c:pt>
                <c:pt idx="51">
                  <c:v>0.91142335462832047</c:v>
                </c:pt>
                <c:pt idx="52">
                  <c:v>0.46259942122463504</c:v>
                </c:pt>
                <c:pt idx="53">
                  <c:v>0.75359637323229745</c:v>
                </c:pt>
                <c:pt idx="54">
                  <c:v>0.54397074080211338</c:v>
                </c:pt>
                <c:pt idx="55">
                  <c:v>0.40948864006293223</c:v>
                </c:pt>
                <c:pt idx="56">
                  <c:v>0.63630830357281509</c:v>
                </c:pt>
                <c:pt idx="57">
                  <c:v>0.61845694748402213</c:v>
                </c:pt>
                <c:pt idx="58">
                  <c:v>1.0364385342871594</c:v>
                </c:pt>
                <c:pt idx="59">
                  <c:v>0.95984936848450442</c:v>
                </c:pt>
                <c:pt idx="60">
                  <c:v>0.70957568219945355</c:v>
                </c:pt>
                <c:pt idx="61">
                  <c:v>0.99495718576661785</c:v>
                </c:pt>
                <c:pt idx="62">
                  <c:v>0.7339566091610461</c:v>
                </c:pt>
                <c:pt idx="63">
                  <c:v>0.70192397567030396</c:v>
                </c:pt>
                <c:pt idx="64">
                  <c:v>1.0186097464351818</c:v>
                </c:pt>
                <c:pt idx="65">
                  <c:v>1.1545175320487373</c:v>
                </c:pt>
                <c:pt idx="66">
                  <c:v>1.2274313587718546</c:v>
                </c:pt>
                <c:pt idx="67">
                  <c:v>0.47253968696326232</c:v>
                </c:pt>
                <c:pt idx="68">
                  <c:v>2.1539575196695467E-2</c:v>
                </c:pt>
                <c:pt idx="69">
                  <c:v>1.0124324787937171</c:v>
                </c:pt>
                <c:pt idx="70">
                  <c:v>2.1946496112933764</c:v>
                </c:pt>
                <c:pt idx="71">
                  <c:v>1.2244074123546369</c:v>
                </c:pt>
                <c:pt idx="72">
                  <c:v>2.0678965851672664</c:v>
                </c:pt>
                <c:pt idx="73">
                  <c:v>0.66805871727644972</c:v>
                </c:pt>
                <c:pt idx="74">
                  <c:v>1.0275872344903187</c:v>
                </c:pt>
                <c:pt idx="75">
                  <c:v>1.1174444040941518</c:v>
                </c:pt>
                <c:pt idx="76">
                  <c:v>0.86060593467684465</c:v>
                </c:pt>
                <c:pt idx="77">
                  <c:v>0.9680286532343132</c:v>
                </c:pt>
                <c:pt idx="78">
                  <c:v>0.62534765277248072</c:v>
                </c:pt>
                <c:pt idx="79">
                  <c:v>0.76822863201287517</c:v>
                </c:pt>
                <c:pt idx="80">
                  <c:v>1.4148073983075566</c:v>
                </c:pt>
                <c:pt idx="81">
                  <c:v>1.5055080258125826</c:v>
                </c:pt>
                <c:pt idx="82">
                  <c:v>0.68367891105699929</c:v>
                </c:pt>
                <c:pt idx="83">
                  <c:v>1.143777975783242</c:v>
                </c:pt>
                <c:pt idx="84">
                  <c:v>1.0084229391859658</c:v>
                </c:pt>
                <c:pt idx="85">
                  <c:v>1.0354865405047693</c:v>
                </c:pt>
                <c:pt idx="86">
                  <c:v>0.64030105637671186</c:v>
                </c:pt>
                <c:pt idx="87">
                  <c:v>0.80365897005806342</c:v>
                </c:pt>
                <c:pt idx="88">
                  <c:v>0.53183242374857009</c:v>
                </c:pt>
                <c:pt idx="89">
                  <c:v>0.4899215267322406</c:v>
                </c:pt>
                <c:pt idx="90">
                  <c:v>0.71172559777054689</c:v>
                </c:pt>
                <c:pt idx="91">
                  <c:v>0.93812261678007669</c:v>
                </c:pt>
                <c:pt idx="92">
                  <c:v>1.4913991821212427</c:v>
                </c:pt>
                <c:pt idx="93">
                  <c:v>0.67365332717376181</c:v>
                </c:pt>
                <c:pt idx="94">
                  <c:v>0.88948793126482184</c:v>
                </c:pt>
                <c:pt idx="95">
                  <c:v>1.0548416301908856</c:v>
                </c:pt>
                <c:pt idx="96">
                  <c:v>0.64293531354868938</c:v>
                </c:pt>
                <c:pt idx="97">
                  <c:v>0.81757428397612042</c:v>
                </c:pt>
                <c:pt idx="98">
                  <c:v>0.58589209118695074</c:v>
                </c:pt>
                <c:pt idx="99">
                  <c:v>0.8484575891799272</c:v>
                </c:pt>
                <c:pt idx="100">
                  <c:v>0.53252384911037254</c:v>
                </c:pt>
                <c:pt idx="101">
                  <c:v>1.1062583887915285</c:v>
                </c:pt>
                <c:pt idx="102">
                  <c:v>1.188959172199666</c:v>
                </c:pt>
                <c:pt idx="103">
                  <c:v>0.89824872848928894</c:v>
                </c:pt>
                <c:pt idx="104">
                  <c:v>0.60381409169041189</c:v>
                </c:pt>
                <c:pt idx="105">
                  <c:v>1.1636534098076083</c:v>
                </c:pt>
                <c:pt idx="106">
                  <c:v>0.64129556910376029</c:v>
                </c:pt>
                <c:pt idx="107">
                  <c:v>1.0803433980006203</c:v>
                </c:pt>
                <c:pt idx="108">
                  <c:v>0.56316572449555458</c:v>
                </c:pt>
                <c:pt idx="109">
                  <c:v>0.56682568123115029</c:v>
                </c:pt>
                <c:pt idx="110">
                  <c:v>0.76661243928873857</c:v>
                </c:pt>
                <c:pt idx="111">
                  <c:v>0.6760089760139294</c:v>
                </c:pt>
                <c:pt idx="112">
                  <c:v>1.777012558373668</c:v>
                </c:pt>
                <c:pt idx="113">
                  <c:v>0.59433985617324359</c:v>
                </c:pt>
                <c:pt idx="114">
                  <c:v>0.93307132665343562</c:v>
                </c:pt>
                <c:pt idx="115">
                  <c:v>0.88123455905882597</c:v>
                </c:pt>
                <c:pt idx="116">
                  <c:v>1.4314741243382529</c:v>
                </c:pt>
                <c:pt idx="117">
                  <c:v>0.5726245745186308</c:v>
                </c:pt>
                <c:pt idx="118">
                  <c:v>0.77231649368114896</c:v>
                </c:pt>
                <c:pt idx="119">
                  <c:v>1.1020456593795878</c:v>
                </c:pt>
                <c:pt idx="120">
                  <c:v>0.76049846564984136</c:v>
                </c:pt>
                <c:pt idx="121">
                  <c:v>1.4173976880315253</c:v>
                </c:pt>
                <c:pt idx="122">
                  <c:v>0.86610233986236285</c:v>
                </c:pt>
                <c:pt idx="123">
                  <c:v>1.4024191125204819</c:v>
                </c:pt>
                <c:pt idx="124">
                  <c:v>0.82604976159492949</c:v>
                </c:pt>
                <c:pt idx="125">
                  <c:v>0.85765738505247446</c:v>
                </c:pt>
                <c:pt idx="126">
                  <c:v>3.0278963962378866</c:v>
                </c:pt>
                <c:pt idx="127">
                  <c:v>0.61351399801471829</c:v>
                </c:pt>
                <c:pt idx="128">
                  <c:v>1.05243403133307</c:v>
                </c:pt>
                <c:pt idx="129">
                  <c:v>0.51727845253288762</c:v>
                </c:pt>
                <c:pt idx="130">
                  <c:v>1.2272183849577321</c:v>
                </c:pt>
                <c:pt idx="131">
                  <c:v>0.94892460540612111</c:v>
                </c:pt>
                <c:pt idx="132">
                  <c:v>1.1474824021428713</c:v>
                </c:pt>
                <c:pt idx="133">
                  <c:v>0.54313144851458106</c:v>
                </c:pt>
                <c:pt idx="134">
                  <c:v>0.73424486831882352</c:v>
                </c:pt>
                <c:pt idx="135">
                  <c:v>0.91801236115594709</c:v>
                </c:pt>
                <c:pt idx="136">
                  <c:v>0.69908305501318302</c:v>
                </c:pt>
              </c:numCache>
            </c:numRef>
          </c:yVal>
        </c:ser>
        <c:axId val="34943360"/>
        <c:axId val="35088256"/>
      </c:scatterChart>
      <c:valAx>
        <c:axId val="34943360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88256"/>
        <c:crosses val="autoZero"/>
        <c:crossBetween val="midCat"/>
      </c:valAx>
      <c:valAx>
        <c:axId val="35088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TN - mg/L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26590538336053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33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Wychmere Harbor - Surface
Chlorophyll A</a:t>
            </a:r>
          </a:p>
        </c:rich>
      </c:tx>
      <c:layout>
        <c:manualLayout>
          <c:xMode val="edge"/>
          <c:yMode val="edge"/>
          <c:x val="0.37957824639289711"/>
          <c:y val="1.95758564437194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570477247502775E-2"/>
          <c:y val="0.15660685154975529"/>
          <c:w val="0.87680355160932333"/>
          <c:h val="0.77650897226753701"/>
        </c:manualLayout>
      </c:layout>
      <c:scatterChart>
        <c:scatterStyle val="lineMarker"/>
        <c:ser>
          <c:idx val="0"/>
          <c:order val="0"/>
          <c:tx>
            <c:strRef>
              <c:f>Data!$AC$4</c:f>
              <c:strCache>
                <c:ptCount val="1"/>
                <c:pt idx="0">
                  <c:v>Chl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Data!$D$5:$D$140</c:f>
              <c:numCache>
                <c:formatCode>m/d/yy;@</c:formatCode>
                <c:ptCount val="136"/>
                <c:pt idx="0">
                  <c:v>37097</c:v>
                </c:pt>
                <c:pt idx="1">
                  <c:v>37097</c:v>
                </c:pt>
                <c:pt idx="2">
                  <c:v>37097</c:v>
                </c:pt>
                <c:pt idx="3">
                  <c:v>37112</c:v>
                </c:pt>
                <c:pt idx="4">
                  <c:v>37112</c:v>
                </c:pt>
                <c:pt idx="5">
                  <c:v>37112</c:v>
                </c:pt>
                <c:pt idx="6">
                  <c:v>37126</c:v>
                </c:pt>
                <c:pt idx="7">
                  <c:v>37126</c:v>
                </c:pt>
                <c:pt idx="8">
                  <c:v>37126</c:v>
                </c:pt>
                <c:pt idx="9">
                  <c:v>37140</c:v>
                </c:pt>
                <c:pt idx="10">
                  <c:v>37140</c:v>
                </c:pt>
                <c:pt idx="11">
                  <c:v>37140</c:v>
                </c:pt>
                <c:pt idx="12">
                  <c:v>37419</c:v>
                </c:pt>
                <c:pt idx="13">
                  <c:v>37419</c:v>
                </c:pt>
                <c:pt idx="14">
                  <c:v>37448</c:v>
                </c:pt>
                <c:pt idx="15">
                  <c:v>37448</c:v>
                </c:pt>
                <c:pt idx="16">
                  <c:v>37462</c:v>
                </c:pt>
                <c:pt idx="17">
                  <c:v>37462</c:v>
                </c:pt>
                <c:pt idx="18">
                  <c:v>37481</c:v>
                </c:pt>
                <c:pt idx="19">
                  <c:v>37481</c:v>
                </c:pt>
                <c:pt idx="20">
                  <c:v>37525</c:v>
                </c:pt>
                <c:pt idx="21">
                  <c:v>37525</c:v>
                </c:pt>
                <c:pt idx="22">
                  <c:v>37789</c:v>
                </c:pt>
                <c:pt idx="23">
                  <c:v>37789</c:v>
                </c:pt>
                <c:pt idx="24">
                  <c:v>37805</c:v>
                </c:pt>
                <c:pt idx="25">
                  <c:v>37805</c:v>
                </c:pt>
                <c:pt idx="26">
                  <c:v>37819</c:v>
                </c:pt>
                <c:pt idx="27">
                  <c:v>37819</c:v>
                </c:pt>
                <c:pt idx="28">
                  <c:v>37838</c:v>
                </c:pt>
                <c:pt idx="29">
                  <c:v>37838</c:v>
                </c:pt>
                <c:pt idx="30">
                  <c:v>37852</c:v>
                </c:pt>
                <c:pt idx="31">
                  <c:v>37852</c:v>
                </c:pt>
                <c:pt idx="32">
                  <c:v>37867</c:v>
                </c:pt>
                <c:pt idx="33">
                  <c:v>37867</c:v>
                </c:pt>
                <c:pt idx="34">
                  <c:v>38161</c:v>
                </c:pt>
                <c:pt idx="35">
                  <c:v>38161</c:v>
                </c:pt>
                <c:pt idx="36">
                  <c:v>38175</c:v>
                </c:pt>
                <c:pt idx="37">
                  <c:v>38175</c:v>
                </c:pt>
                <c:pt idx="38">
                  <c:v>38190</c:v>
                </c:pt>
                <c:pt idx="39">
                  <c:v>38190</c:v>
                </c:pt>
                <c:pt idx="40">
                  <c:v>38204</c:v>
                </c:pt>
                <c:pt idx="41">
                  <c:v>38204</c:v>
                </c:pt>
                <c:pt idx="42">
                  <c:v>38218</c:v>
                </c:pt>
                <c:pt idx="43">
                  <c:v>38218</c:v>
                </c:pt>
                <c:pt idx="44">
                  <c:v>38237</c:v>
                </c:pt>
                <c:pt idx="45">
                  <c:v>38237</c:v>
                </c:pt>
                <c:pt idx="46">
                  <c:v>38517</c:v>
                </c:pt>
                <c:pt idx="47">
                  <c:v>38517</c:v>
                </c:pt>
                <c:pt idx="48">
                  <c:v>38546</c:v>
                </c:pt>
                <c:pt idx="49">
                  <c:v>38546</c:v>
                </c:pt>
                <c:pt idx="50">
                  <c:v>38559</c:v>
                </c:pt>
                <c:pt idx="51">
                  <c:v>38559</c:v>
                </c:pt>
                <c:pt idx="52">
                  <c:v>38574</c:v>
                </c:pt>
                <c:pt idx="53">
                  <c:v>38574</c:v>
                </c:pt>
                <c:pt idx="54">
                  <c:v>38588</c:v>
                </c:pt>
                <c:pt idx="55">
                  <c:v>38603</c:v>
                </c:pt>
                <c:pt idx="56">
                  <c:v>38888</c:v>
                </c:pt>
                <c:pt idx="57">
                  <c:v>38888</c:v>
                </c:pt>
                <c:pt idx="58">
                  <c:v>38903</c:v>
                </c:pt>
                <c:pt idx="59">
                  <c:v>38903</c:v>
                </c:pt>
                <c:pt idx="60">
                  <c:v>38917</c:v>
                </c:pt>
                <c:pt idx="61">
                  <c:v>38917</c:v>
                </c:pt>
                <c:pt idx="62">
                  <c:v>38931</c:v>
                </c:pt>
                <c:pt idx="63">
                  <c:v>38931</c:v>
                </c:pt>
                <c:pt idx="64">
                  <c:v>38945</c:v>
                </c:pt>
                <c:pt idx="65">
                  <c:v>38945</c:v>
                </c:pt>
                <c:pt idx="66">
                  <c:v>38973</c:v>
                </c:pt>
                <c:pt idx="67">
                  <c:v>38973</c:v>
                </c:pt>
                <c:pt idx="68">
                  <c:v>39254</c:v>
                </c:pt>
                <c:pt idx="69">
                  <c:v>39254</c:v>
                </c:pt>
                <c:pt idx="70">
                  <c:v>39282</c:v>
                </c:pt>
                <c:pt idx="71">
                  <c:v>39282</c:v>
                </c:pt>
                <c:pt idx="72">
                  <c:v>39301</c:v>
                </c:pt>
                <c:pt idx="73">
                  <c:v>39301</c:v>
                </c:pt>
                <c:pt idx="74">
                  <c:v>39315</c:v>
                </c:pt>
                <c:pt idx="75">
                  <c:v>39315</c:v>
                </c:pt>
                <c:pt idx="76">
                  <c:v>39343</c:v>
                </c:pt>
                <c:pt idx="77">
                  <c:v>39343</c:v>
                </c:pt>
                <c:pt idx="78">
                  <c:v>39638</c:v>
                </c:pt>
                <c:pt idx="79">
                  <c:v>39638</c:v>
                </c:pt>
                <c:pt idx="80">
                  <c:v>39653</c:v>
                </c:pt>
                <c:pt idx="81">
                  <c:v>39653</c:v>
                </c:pt>
                <c:pt idx="82">
                  <c:v>39667</c:v>
                </c:pt>
                <c:pt idx="83">
                  <c:v>39667</c:v>
                </c:pt>
                <c:pt idx="84">
                  <c:v>39686</c:v>
                </c:pt>
                <c:pt idx="85">
                  <c:v>39686</c:v>
                </c:pt>
                <c:pt idx="86">
                  <c:v>39700</c:v>
                </c:pt>
                <c:pt idx="87">
                  <c:v>39700</c:v>
                </c:pt>
                <c:pt idx="88">
                  <c:v>40008</c:v>
                </c:pt>
                <c:pt idx="89">
                  <c:v>40008</c:v>
                </c:pt>
                <c:pt idx="90">
                  <c:v>40022</c:v>
                </c:pt>
                <c:pt idx="91">
                  <c:v>40022</c:v>
                </c:pt>
                <c:pt idx="92">
                  <c:v>40037</c:v>
                </c:pt>
                <c:pt idx="93">
                  <c:v>40037</c:v>
                </c:pt>
                <c:pt idx="94">
                  <c:v>40051</c:v>
                </c:pt>
                <c:pt idx="95">
                  <c:v>40051</c:v>
                </c:pt>
                <c:pt idx="96">
                  <c:v>40360</c:v>
                </c:pt>
                <c:pt idx="97">
                  <c:v>40360</c:v>
                </c:pt>
                <c:pt idx="98">
                  <c:v>40374</c:v>
                </c:pt>
                <c:pt idx="99">
                  <c:v>40374</c:v>
                </c:pt>
                <c:pt idx="100">
                  <c:v>40393</c:v>
                </c:pt>
                <c:pt idx="101">
                  <c:v>40393</c:v>
                </c:pt>
                <c:pt idx="102">
                  <c:v>40407</c:v>
                </c:pt>
                <c:pt idx="103">
                  <c:v>40407</c:v>
                </c:pt>
                <c:pt idx="104">
                  <c:v>40731</c:v>
                </c:pt>
                <c:pt idx="105">
                  <c:v>40731</c:v>
                </c:pt>
                <c:pt idx="106">
                  <c:v>40745</c:v>
                </c:pt>
                <c:pt idx="107">
                  <c:v>40745</c:v>
                </c:pt>
                <c:pt idx="108">
                  <c:v>40759</c:v>
                </c:pt>
                <c:pt idx="109">
                  <c:v>40759</c:v>
                </c:pt>
                <c:pt idx="110">
                  <c:v>40773</c:v>
                </c:pt>
                <c:pt idx="111">
                  <c:v>40773</c:v>
                </c:pt>
                <c:pt idx="112">
                  <c:v>41101</c:v>
                </c:pt>
                <c:pt idx="113">
                  <c:v>41101</c:v>
                </c:pt>
                <c:pt idx="114">
                  <c:v>41101</c:v>
                </c:pt>
                <c:pt idx="115">
                  <c:v>41115</c:v>
                </c:pt>
                <c:pt idx="116">
                  <c:v>41115</c:v>
                </c:pt>
                <c:pt idx="117">
                  <c:v>41115</c:v>
                </c:pt>
                <c:pt idx="118">
                  <c:v>41129</c:v>
                </c:pt>
                <c:pt idx="119">
                  <c:v>41129</c:v>
                </c:pt>
                <c:pt idx="120">
                  <c:v>41143</c:v>
                </c:pt>
                <c:pt idx="121">
                  <c:v>41143</c:v>
                </c:pt>
                <c:pt idx="122">
                  <c:v>41466</c:v>
                </c:pt>
                <c:pt idx="123">
                  <c:v>41466</c:v>
                </c:pt>
                <c:pt idx="124">
                  <c:v>41480</c:v>
                </c:pt>
                <c:pt idx="125">
                  <c:v>41480</c:v>
                </c:pt>
                <c:pt idx="126">
                  <c:v>41499</c:v>
                </c:pt>
                <c:pt idx="127">
                  <c:v>41499</c:v>
                </c:pt>
                <c:pt idx="128">
                  <c:v>41836</c:v>
                </c:pt>
                <c:pt idx="129">
                  <c:v>41836</c:v>
                </c:pt>
                <c:pt idx="130">
                  <c:v>41851</c:v>
                </c:pt>
                <c:pt idx="131">
                  <c:v>41851</c:v>
                </c:pt>
                <c:pt idx="132">
                  <c:v>41865</c:v>
                </c:pt>
                <c:pt idx="133">
                  <c:v>41865</c:v>
                </c:pt>
                <c:pt idx="134">
                  <c:v>41879</c:v>
                </c:pt>
                <c:pt idx="135">
                  <c:v>41879</c:v>
                </c:pt>
              </c:numCache>
            </c:numRef>
          </c:xVal>
          <c:yVal>
            <c:numRef>
              <c:f>Data!$AC$5:$AC$140</c:f>
              <c:numCache>
                <c:formatCode>0.00</c:formatCode>
                <c:ptCount val="136"/>
                <c:pt idx="0">
                  <c:v>11.13</c:v>
                </c:pt>
                <c:pt idx="1">
                  <c:v>12.77</c:v>
                </c:pt>
                <c:pt idx="2">
                  <c:v>11.95</c:v>
                </c:pt>
                <c:pt idx="3">
                  <c:v>9.86</c:v>
                </c:pt>
                <c:pt idx="4">
                  <c:v>14.23</c:v>
                </c:pt>
                <c:pt idx="5">
                  <c:v>12.045</c:v>
                </c:pt>
                <c:pt idx="6">
                  <c:v>11.2</c:v>
                </c:pt>
                <c:pt idx="7">
                  <c:v>11.12</c:v>
                </c:pt>
                <c:pt idx="8">
                  <c:v>11.16</c:v>
                </c:pt>
                <c:pt idx="9">
                  <c:v>11.2</c:v>
                </c:pt>
                <c:pt idx="10">
                  <c:v>11.12</c:v>
                </c:pt>
                <c:pt idx="11">
                  <c:v>10.16</c:v>
                </c:pt>
                <c:pt idx="12">
                  <c:v>16.073925000000003</c:v>
                </c:pt>
                <c:pt idx="13">
                  <c:v>10.176540000000001</c:v>
                </c:pt>
                <c:pt idx="14">
                  <c:v>8.7022149999999989</c:v>
                </c:pt>
                <c:pt idx="15">
                  <c:v>10.472424999999999</c:v>
                </c:pt>
                <c:pt idx="16">
                  <c:v>12.585780000000003</c:v>
                </c:pt>
                <c:pt idx="17">
                  <c:v>12.021550000000001</c:v>
                </c:pt>
                <c:pt idx="18">
                  <c:v>10.686709999999998</c:v>
                </c:pt>
                <c:pt idx="19">
                  <c:v>8.8966100000000008</c:v>
                </c:pt>
                <c:pt idx="20">
                  <c:v>4.9987366666666668</c:v>
                </c:pt>
                <c:pt idx="21">
                  <c:v>5.4812250000000002</c:v>
                </c:pt>
                <c:pt idx="22">
                  <c:v>16.881457142857144</c:v>
                </c:pt>
                <c:pt idx="23">
                  <c:v>11.18787</c:v>
                </c:pt>
                <c:pt idx="24">
                  <c:v>8.8577650000000023</c:v>
                </c:pt>
                <c:pt idx="25">
                  <c:v>8.4441550000000021</c:v>
                </c:pt>
                <c:pt idx="26">
                  <c:v>12.545320000000002</c:v>
                </c:pt>
                <c:pt idx="27">
                  <c:v>12.55297</c:v>
                </c:pt>
                <c:pt idx="28">
                  <c:v>11.059094999999999</c:v>
                </c:pt>
                <c:pt idx="29">
                  <c:v>9.3952199999999984</c:v>
                </c:pt>
                <c:pt idx="30">
                  <c:v>10.390735714285716</c:v>
                </c:pt>
                <c:pt idx="31">
                  <c:v>11.671180000000001</c:v>
                </c:pt>
                <c:pt idx="32">
                  <c:v>6.6919650000000015</c:v>
                </c:pt>
                <c:pt idx="33">
                  <c:v>7.6336800000000018</c:v>
                </c:pt>
                <c:pt idx="34">
                  <c:v>11.027389999999999</c:v>
                </c:pt>
                <c:pt idx="35">
                  <c:v>10.608594999999999</c:v>
                </c:pt>
                <c:pt idx="36">
                  <c:v>11.010730000000002</c:v>
                </c:pt>
                <c:pt idx="37">
                  <c:v>12.354749999999999</c:v>
                </c:pt>
                <c:pt idx="38">
                  <c:v>6.6837199999999983</c:v>
                </c:pt>
                <c:pt idx="39">
                  <c:v>11.589325000000001</c:v>
                </c:pt>
                <c:pt idx="40">
                  <c:v>11.1</c:v>
                </c:pt>
                <c:pt idx="41">
                  <c:v>12.45505</c:v>
                </c:pt>
                <c:pt idx="42">
                  <c:v>10.746634999999999</c:v>
                </c:pt>
                <c:pt idx="43">
                  <c:v>9.9490799999999986</c:v>
                </c:pt>
                <c:pt idx="44">
                  <c:v>11.1</c:v>
                </c:pt>
                <c:pt idx="45">
                  <c:v>12.003360000000002</c:v>
                </c:pt>
                <c:pt idx="46">
                  <c:v>23.318545714285722</c:v>
                </c:pt>
                <c:pt idx="47">
                  <c:v>15.170048059895834</c:v>
                </c:pt>
                <c:pt idx="48">
                  <c:v>14.840027059895831</c:v>
                </c:pt>
                <c:pt idx="49">
                  <c:v>12.065406059895837</c:v>
                </c:pt>
                <c:pt idx="50">
                  <c:v>13.152109972411868</c:v>
                </c:pt>
                <c:pt idx="51">
                  <c:v>17.0277081838641</c:v>
                </c:pt>
                <c:pt idx="52">
                  <c:v>18.49952627296399</c:v>
                </c:pt>
                <c:pt idx="53">
                  <c:v>15.493380446192393</c:v>
                </c:pt>
                <c:pt idx="54">
                  <c:v>11.941695868248631</c:v>
                </c:pt>
                <c:pt idx="55">
                  <c:v>14.682745043303571</c:v>
                </c:pt>
                <c:pt idx="56">
                  <c:v>15.316870106250001</c:v>
                </c:pt>
                <c:pt idx="57">
                  <c:v>11.522072306249997</c:v>
                </c:pt>
                <c:pt idx="58">
                  <c:v>24.013447132812502</c:v>
                </c:pt>
                <c:pt idx="59">
                  <c:v>12.9734520828125</c:v>
                </c:pt>
                <c:pt idx="60">
                  <c:v>18.934592031249998</c:v>
                </c:pt>
                <c:pt idx="61">
                  <c:v>14.323552031250003</c:v>
                </c:pt>
                <c:pt idx="62">
                  <c:v>20.430932182812498</c:v>
                </c:pt>
                <c:pt idx="63">
                  <c:v>15.6751348828125</c:v>
                </c:pt>
                <c:pt idx="64">
                  <c:v>17.180392031250001</c:v>
                </c:pt>
                <c:pt idx="65">
                  <c:v>13.578017031250001</c:v>
                </c:pt>
                <c:pt idx="66">
                  <c:v>17.668147826041665</c:v>
                </c:pt>
                <c:pt idx="67">
                  <c:v>18.28574257604167</c:v>
                </c:pt>
                <c:pt idx="68">
                  <c:v>21.06331186666667</c:v>
                </c:pt>
                <c:pt idx="69">
                  <c:v>19.12581586666667</c:v>
                </c:pt>
                <c:pt idx="70">
                  <c:v>29.203945466666667</c:v>
                </c:pt>
                <c:pt idx="71">
                  <c:v>20.102439866666664</c:v>
                </c:pt>
                <c:pt idx="72">
                  <c:v>15.075288542187501</c:v>
                </c:pt>
                <c:pt idx="73">
                  <c:v>15.275901962025316</c:v>
                </c:pt>
                <c:pt idx="74">
                  <c:v>8.1336774921875019</c:v>
                </c:pt>
                <c:pt idx="75">
                  <c:v>8.5919622421875008</c:v>
                </c:pt>
                <c:pt idx="76">
                  <c:v>9.5365899921874995</c:v>
                </c:pt>
                <c:pt idx="77">
                  <c:v>12.1516188921875</c:v>
                </c:pt>
                <c:pt idx="78">
                  <c:v>19.770501520833335</c:v>
                </c:pt>
                <c:pt idx="79">
                  <c:v>21.964862520833332</c:v>
                </c:pt>
                <c:pt idx="80">
                  <c:v>19.886844062499996</c:v>
                </c:pt>
                <c:pt idx="81">
                  <c:v>20.372829062499999</c:v>
                </c:pt>
                <c:pt idx="82">
                  <c:v>15.338454062499999</c:v>
                </c:pt>
                <c:pt idx="83">
                  <c:v>24.172104062500001</c:v>
                </c:pt>
                <c:pt idx="84">
                  <c:v>13.624047999999998</c:v>
                </c:pt>
                <c:pt idx="85">
                  <c:v>14.245536000000005</c:v>
                </c:pt>
                <c:pt idx="86">
                  <c:v>24.489424013468749</c:v>
                </c:pt>
                <c:pt idx="87">
                  <c:v>23.424076425968757</c:v>
                </c:pt>
                <c:pt idx="88">
                  <c:v>24.841197671875005</c:v>
                </c:pt>
                <c:pt idx="89">
                  <c:v>14.790168671875001</c:v>
                </c:pt>
                <c:pt idx="90">
                  <c:v>8.0526496927083357</c:v>
                </c:pt>
                <c:pt idx="91">
                  <c:v>10.166013192708336</c:v>
                </c:pt>
                <c:pt idx="92">
                  <c:v>6.4931121927083346</c:v>
                </c:pt>
                <c:pt idx="93">
                  <c:v>7.1062766927083336</c:v>
                </c:pt>
                <c:pt idx="94">
                  <c:v>8.4969276927083346</c:v>
                </c:pt>
                <c:pt idx="95">
                  <c:v>6.5904881927083352</c:v>
                </c:pt>
                <c:pt idx="96">
                  <c:v>14.840979500000003</c:v>
                </c:pt>
                <c:pt idx="97">
                  <c:v>17.351007000000003</c:v>
                </c:pt>
                <c:pt idx="98">
                  <c:v>14.353115000000003</c:v>
                </c:pt>
                <c:pt idx="99">
                  <c:v>14.69603425</c:v>
                </c:pt>
                <c:pt idx="100">
                  <c:v>13.331427750000001</c:v>
                </c:pt>
                <c:pt idx="101">
                  <c:v>17.895435499999998</c:v>
                </c:pt>
                <c:pt idx="102">
                  <c:v>17.252020000000002</c:v>
                </c:pt>
                <c:pt idx="103">
                  <c:v>8.8770127500000022</c:v>
                </c:pt>
                <c:pt idx="104">
                  <c:v>13.5292675</c:v>
                </c:pt>
                <c:pt idx="105">
                  <c:v>13.858627500000001</c:v>
                </c:pt>
                <c:pt idx="106">
                  <c:v>7.6856028887886083</c:v>
                </c:pt>
                <c:pt idx="107">
                  <c:v>9.2669884689810154</c:v>
                </c:pt>
                <c:pt idx="108">
                  <c:v>6.893758629305065</c:v>
                </c:pt>
                <c:pt idx="109">
                  <c:v>7.9934004780949373</c:v>
                </c:pt>
                <c:pt idx="110">
                  <c:v>17.748804666666672</c:v>
                </c:pt>
                <c:pt idx="111">
                  <c:v>22.121178</c:v>
                </c:pt>
                <c:pt idx="112">
                  <c:v>17.056180202083333</c:v>
                </c:pt>
                <c:pt idx="113">
                  <c:v>11.711777202083336</c:v>
                </c:pt>
                <c:pt idx="114">
                  <c:v>18.088455302083336</c:v>
                </c:pt>
                <c:pt idx="115">
                  <c:v>14.153364052083333</c:v>
                </c:pt>
                <c:pt idx="116">
                  <c:v>17.063501302083331</c:v>
                </c:pt>
                <c:pt idx="117">
                  <c:v>18.648519452083331</c:v>
                </c:pt>
                <c:pt idx="118">
                  <c:v>19.157335902083336</c:v>
                </c:pt>
                <c:pt idx="119">
                  <c:v>15.251529052083331</c:v>
                </c:pt>
                <c:pt idx="120">
                  <c:v>22.074794252083333</c:v>
                </c:pt>
                <c:pt idx="121">
                  <c:v>38.129966552083339</c:v>
                </c:pt>
                <c:pt idx="122">
                  <c:v>10.382000000000001</c:v>
                </c:pt>
                <c:pt idx="123">
                  <c:v>10.5252</c:v>
                </c:pt>
                <c:pt idx="124">
                  <c:v>13.514500000000002</c:v>
                </c:pt>
                <c:pt idx="125">
                  <c:v>15.572999999999999</c:v>
                </c:pt>
                <c:pt idx="126">
                  <c:v>11.003193395833335</c:v>
                </c:pt>
                <c:pt idx="127">
                  <c:v>9.4494733958333335</c:v>
                </c:pt>
                <c:pt idx="128">
                  <c:v>9.0615393750000006</c:v>
                </c:pt>
                <c:pt idx="129">
                  <c:v>9.9511693750000028</c:v>
                </c:pt>
                <c:pt idx="130">
                  <c:v>16.644695374999998</c:v>
                </c:pt>
                <c:pt idx="131">
                  <c:v>15.008362484968353</c:v>
                </c:pt>
                <c:pt idx="132">
                  <c:v>8.2161000000000008</c:v>
                </c:pt>
                <c:pt idx="133">
                  <c:v>6.0502000000000002</c:v>
                </c:pt>
                <c:pt idx="134">
                  <c:v>17.090763375000005</c:v>
                </c:pt>
                <c:pt idx="135">
                  <c:v>13.847999375000002</c:v>
                </c:pt>
              </c:numCache>
            </c:numRef>
          </c:yVal>
        </c:ser>
        <c:axId val="52238976"/>
        <c:axId val="52556928"/>
      </c:scatterChart>
      <c:valAx>
        <c:axId val="52238976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56928"/>
        <c:crosses val="autoZero"/>
        <c:crossBetween val="midCat"/>
      </c:valAx>
      <c:valAx>
        <c:axId val="5255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Chl A - uq/L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12398042414355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389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Wychmere Harbor - Suface
Dissolved Oxygen</a:t>
            </a:r>
          </a:p>
        </c:rich>
      </c:tx>
      <c:layout>
        <c:manualLayout>
          <c:xMode val="edge"/>
          <c:yMode val="edge"/>
          <c:x val="0.3829078801331855"/>
          <c:y val="1.95758564437194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911209766925687E-2"/>
          <c:y val="0.12071778140293642"/>
          <c:w val="0.88235294117647056"/>
          <c:h val="0.76672104404567765"/>
        </c:manualLayout>
      </c:layout>
      <c:scatterChart>
        <c:scatterStyle val="lineMarker"/>
        <c:ser>
          <c:idx val="0"/>
          <c:order val="0"/>
          <c:tx>
            <c:strRef>
              <c:f>Data!$K$4</c:f>
              <c:strCache>
                <c:ptCount val="1"/>
                <c:pt idx="0">
                  <c:v>D.O. mg/L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Data!$D$5:$D$140</c:f>
              <c:numCache>
                <c:formatCode>m/d/yy;@</c:formatCode>
                <c:ptCount val="136"/>
                <c:pt idx="0">
                  <c:v>37097</c:v>
                </c:pt>
                <c:pt idx="1">
                  <c:v>37097</c:v>
                </c:pt>
                <c:pt idx="2">
                  <c:v>37097</c:v>
                </c:pt>
                <c:pt idx="3">
                  <c:v>37112</c:v>
                </c:pt>
                <c:pt idx="4">
                  <c:v>37112</c:v>
                </c:pt>
                <c:pt idx="5">
                  <c:v>37112</c:v>
                </c:pt>
                <c:pt idx="6">
                  <c:v>37126</c:v>
                </c:pt>
                <c:pt idx="7">
                  <c:v>37126</c:v>
                </c:pt>
                <c:pt idx="8">
                  <c:v>37126</c:v>
                </c:pt>
                <c:pt idx="9">
                  <c:v>37140</c:v>
                </c:pt>
                <c:pt idx="10">
                  <c:v>37140</c:v>
                </c:pt>
                <c:pt idx="11">
                  <c:v>37140</c:v>
                </c:pt>
                <c:pt idx="12">
                  <c:v>37419</c:v>
                </c:pt>
                <c:pt idx="13">
                  <c:v>37419</c:v>
                </c:pt>
                <c:pt idx="14">
                  <c:v>37448</c:v>
                </c:pt>
                <c:pt idx="15">
                  <c:v>37448</c:v>
                </c:pt>
                <c:pt idx="16">
                  <c:v>37462</c:v>
                </c:pt>
                <c:pt idx="17">
                  <c:v>37462</c:v>
                </c:pt>
                <c:pt idx="18">
                  <c:v>37481</c:v>
                </c:pt>
                <c:pt idx="19">
                  <c:v>37481</c:v>
                </c:pt>
                <c:pt idx="20">
                  <c:v>37525</c:v>
                </c:pt>
                <c:pt idx="21">
                  <c:v>37525</c:v>
                </c:pt>
                <c:pt idx="22">
                  <c:v>37789</c:v>
                </c:pt>
                <c:pt idx="23">
                  <c:v>37789</c:v>
                </c:pt>
                <c:pt idx="24">
                  <c:v>37805</c:v>
                </c:pt>
                <c:pt idx="25">
                  <c:v>37805</c:v>
                </c:pt>
                <c:pt idx="26">
                  <c:v>37819</c:v>
                </c:pt>
                <c:pt idx="27">
                  <c:v>37819</c:v>
                </c:pt>
                <c:pt idx="28">
                  <c:v>37838</c:v>
                </c:pt>
                <c:pt idx="29">
                  <c:v>37838</c:v>
                </c:pt>
                <c:pt idx="30">
                  <c:v>37852</c:v>
                </c:pt>
                <c:pt idx="31">
                  <c:v>37852</c:v>
                </c:pt>
                <c:pt idx="32">
                  <c:v>37867</c:v>
                </c:pt>
                <c:pt idx="33">
                  <c:v>37867</c:v>
                </c:pt>
                <c:pt idx="34">
                  <c:v>38161</c:v>
                </c:pt>
                <c:pt idx="35">
                  <c:v>38161</c:v>
                </c:pt>
                <c:pt idx="36">
                  <c:v>38175</c:v>
                </c:pt>
                <c:pt idx="37">
                  <c:v>38175</c:v>
                </c:pt>
                <c:pt idx="38">
                  <c:v>38190</c:v>
                </c:pt>
                <c:pt idx="39">
                  <c:v>38190</c:v>
                </c:pt>
                <c:pt idx="40">
                  <c:v>38204</c:v>
                </c:pt>
                <c:pt idx="41">
                  <c:v>38204</c:v>
                </c:pt>
                <c:pt idx="42">
                  <c:v>38218</c:v>
                </c:pt>
                <c:pt idx="43">
                  <c:v>38218</c:v>
                </c:pt>
                <c:pt idx="44">
                  <c:v>38237</c:v>
                </c:pt>
                <c:pt idx="45">
                  <c:v>38237</c:v>
                </c:pt>
                <c:pt idx="46">
                  <c:v>38517</c:v>
                </c:pt>
                <c:pt idx="47">
                  <c:v>38517</c:v>
                </c:pt>
                <c:pt idx="48">
                  <c:v>38546</c:v>
                </c:pt>
                <c:pt idx="49">
                  <c:v>38546</c:v>
                </c:pt>
                <c:pt idx="50">
                  <c:v>38559</c:v>
                </c:pt>
                <c:pt idx="51">
                  <c:v>38559</c:v>
                </c:pt>
                <c:pt idx="52">
                  <c:v>38574</c:v>
                </c:pt>
                <c:pt idx="53">
                  <c:v>38574</c:v>
                </c:pt>
                <c:pt idx="54">
                  <c:v>38588</c:v>
                </c:pt>
                <c:pt idx="55">
                  <c:v>38603</c:v>
                </c:pt>
                <c:pt idx="56">
                  <c:v>38888</c:v>
                </c:pt>
                <c:pt idx="57">
                  <c:v>38888</c:v>
                </c:pt>
                <c:pt idx="58">
                  <c:v>38903</c:v>
                </c:pt>
                <c:pt idx="59">
                  <c:v>38903</c:v>
                </c:pt>
                <c:pt idx="60">
                  <c:v>38917</c:v>
                </c:pt>
                <c:pt idx="61">
                  <c:v>38917</c:v>
                </c:pt>
                <c:pt idx="62">
                  <c:v>38931</c:v>
                </c:pt>
                <c:pt idx="63">
                  <c:v>38931</c:v>
                </c:pt>
                <c:pt idx="64">
                  <c:v>38945</c:v>
                </c:pt>
                <c:pt idx="65">
                  <c:v>38945</c:v>
                </c:pt>
                <c:pt idx="66">
                  <c:v>38973</c:v>
                </c:pt>
                <c:pt idx="67">
                  <c:v>38973</c:v>
                </c:pt>
                <c:pt idx="68">
                  <c:v>39254</c:v>
                </c:pt>
                <c:pt idx="69">
                  <c:v>39254</c:v>
                </c:pt>
                <c:pt idx="70">
                  <c:v>39282</c:v>
                </c:pt>
                <c:pt idx="71">
                  <c:v>39282</c:v>
                </c:pt>
                <c:pt idx="72">
                  <c:v>39301</c:v>
                </c:pt>
                <c:pt idx="73">
                  <c:v>39301</c:v>
                </c:pt>
                <c:pt idx="74">
                  <c:v>39315</c:v>
                </c:pt>
                <c:pt idx="75">
                  <c:v>39315</c:v>
                </c:pt>
                <c:pt idx="76">
                  <c:v>39343</c:v>
                </c:pt>
                <c:pt idx="77">
                  <c:v>39343</c:v>
                </c:pt>
                <c:pt idx="78">
                  <c:v>39638</c:v>
                </c:pt>
                <c:pt idx="79">
                  <c:v>39638</c:v>
                </c:pt>
                <c:pt idx="80">
                  <c:v>39653</c:v>
                </c:pt>
                <c:pt idx="81">
                  <c:v>39653</c:v>
                </c:pt>
                <c:pt idx="82">
                  <c:v>39667</c:v>
                </c:pt>
                <c:pt idx="83">
                  <c:v>39667</c:v>
                </c:pt>
                <c:pt idx="84">
                  <c:v>39686</c:v>
                </c:pt>
                <c:pt idx="85">
                  <c:v>39686</c:v>
                </c:pt>
                <c:pt idx="86">
                  <c:v>39700</c:v>
                </c:pt>
                <c:pt idx="87">
                  <c:v>39700</c:v>
                </c:pt>
                <c:pt idx="88">
                  <c:v>40008</c:v>
                </c:pt>
                <c:pt idx="89">
                  <c:v>40008</c:v>
                </c:pt>
                <c:pt idx="90">
                  <c:v>40022</c:v>
                </c:pt>
                <c:pt idx="91">
                  <c:v>40022</c:v>
                </c:pt>
                <c:pt idx="92">
                  <c:v>40037</c:v>
                </c:pt>
                <c:pt idx="93">
                  <c:v>40037</c:v>
                </c:pt>
                <c:pt idx="94">
                  <c:v>40051</c:v>
                </c:pt>
                <c:pt idx="95">
                  <c:v>40051</c:v>
                </c:pt>
                <c:pt idx="96">
                  <c:v>40360</c:v>
                </c:pt>
                <c:pt idx="97">
                  <c:v>40360</c:v>
                </c:pt>
                <c:pt idx="98">
                  <c:v>40374</c:v>
                </c:pt>
                <c:pt idx="99">
                  <c:v>40374</c:v>
                </c:pt>
                <c:pt idx="100">
                  <c:v>40393</c:v>
                </c:pt>
                <c:pt idx="101">
                  <c:v>40393</c:v>
                </c:pt>
                <c:pt idx="102">
                  <c:v>40407</c:v>
                </c:pt>
                <c:pt idx="103">
                  <c:v>40407</c:v>
                </c:pt>
                <c:pt idx="104">
                  <c:v>40731</c:v>
                </c:pt>
                <c:pt idx="105">
                  <c:v>40731</c:v>
                </c:pt>
                <c:pt idx="106">
                  <c:v>40745</c:v>
                </c:pt>
                <c:pt idx="107">
                  <c:v>40745</c:v>
                </c:pt>
                <c:pt idx="108">
                  <c:v>40759</c:v>
                </c:pt>
                <c:pt idx="109">
                  <c:v>40759</c:v>
                </c:pt>
                <c:pt idx="110">
                  <c:v>40773</c:v>
                </c:pt>
                <c:pt idx="111">
                  <c:v>40773</c:v>
                </c:pt>
                <c:pt idx="112">
                  <c:v>41101</c:v>
                </c:pt>
                <c:pt idx="113">
                  <c:v>41101</c:v>
                </c:pt>
                <c:pt idx="114">
                  <c:v>41101</c:v>
                </c:pt>
                <c:pt idx="115">
                  <c:v>41115</c:v>
                </c:pt>
                <c:pt idx="116">
                  <c:v>41115</c:v>
                </c:pt>
                <c:pt idx="117">
                  <c:v>41115</c:v>
                </c:pt>
                <c:pt idx="118">
                  <c:v>41129</c:v>
                </c:pt>
                <c:pt idx="119">
                  <c:v>41129</c:v>
                </c:pt>
                <c:pt idx="120">
                  <c:v>41143</c:v>
                </c:pt>
                <c:pt idx="121">
                  <c:v>41143</c:v>
                </c:pt>
                <c:pt idx="122">
                  <c:v>41466</c:v>
                </c:pt>
                <c:pt idx="123">
                  <c:v>41466</c:v>
                </c:pt>
                <c:pt idx="124">
                  <c:v>41480</c:v>
                </c:pt>
                <c:pt idx="125">
                  <c:v>41480</c:v>
                </c:pt>
                <c:pt idx="126">
                  <c:v>41499</c:v>
                </c:pt>
                <c:pt idx="127">
                  <c:v>41499</c:v>
                </c:pt>
                <c:pt idx="128">
                  <c:v>41836</c:v>
                </c:pt>
                <c:pt idx="129">
                  <c:v>41836</c:v>
                </c:pt>
                <c:pt idx="130">
                  <c:v>41851</c:v>
                </c:pt>
                <c:pt idx="131">
                  <c:v>41851</c:v>
                </c:pt>
                <c:pt idx="132">
                  <c:v>41865</c:v>
                </c:pt>
                <c:pt idx="133">
                  <c:v>41865</c:v>
                </c:pt>
                <c:pt idx="134">
                  <c:v>41879</c:v>
                </c:pt>
                <c:pt idx="135">
                  <c:v>41879</c:v>
                </c:pt>
              </c:numCache>
            </c:numRef>
          </c:xVal>
          <c:yVal>
            <c:numRef>
              <c:f>Data!$K$5:$K$140</c:f>
              <c:numCache>
                <c:formatCode>0.00</c:formatCode>
                <c:ptCount val="136"/>
                <c:pt idx="0">
                  <c:v>5.8</c:v>
                </c:pt>
                <c:pt idx="1">
                  <c:v>4.3</c:v>
                </c:pt>
                <c:pt idx="3">
                  <c:v>7</c:v>
                </c:pt>
                <c:pt idx="4">
                  <c:v>4.0999999999999996</c:v>
                </c:pt>
                <c:pt idx="6">
                  <c:v>6.6</c:v>
                </c:pt>
                <c:pt idx="7">
                  <c:v>3.9</c:v>
                </c:pt>
                <c:pt idx="9">
                  <c:v>6.2</c:v>
                </c:pt>
                <c:pt idx="10">
                  <c:v>6.5</c:v>
                </c:pt>
                <c:pt idx="12">
                  <c:v>6.6</c:v>
                </c:pt>
                <c:pt idx="13">
                  <c:v>4.5599999999999996</c:v>
                </c:pt>
                <c:pt idx="14">
                  <c:v>4.8499999999999996</c:v>
                </c:pt>
                <c:pt idx="15">
                  <c:v>4.62</c:v>
                </c:pt>
                <c:pt idx="16">
                  <c:v>5.6</c:v>
                </c:pt>
                <c:pt idx="17">
                  <c:v>5.42</c:v>
                </c:pt>
                <c:pt idx="18">
                  <c:v>5.9</c:v>
                </c:pt>
                <c:pt idx="19">
                  <c:v>3.8</c:v>
                </c:pt>
                <c:pt idx="20">
                  <c:v>5.47</c:v>
                </c:pt>
                <c:pt idx="21">
                  <c:v>5.12</c:v>
                </c:pt>
                <c:pt idx="22">
                  <c:v>8.25</c:v>
                </c:pt>
                <c:pt idx="23">
                  <c:v>7</c:v>
                </c:pt>
                <c:pt idx="24">
                  <c:v>6.59</c:v>
                </c:pt>
                <c:pt idx="25">
                  <c:v>5.6</c:v>
                </c:pt>
                <c:pt idx="26">
                  <c:v>6.55</c:v>
                </c:pt>
                <c:pt idx="27">
                  <c:v>4.97</c:v>
                </c:pt>
                <c:pt idx="28">
                  <c:v>4.5999999999999996</c:v>
                </c:pt>
                <c:pt idx="29">
                  <c:v>3</c:v>
                </c:pt>
                <c:pt idx="30">
                  <c:v>6.23</c:v>
                </c:pt>
                <c:pt idx="31">
                  <c:v>4.6100000000000003</c:v>
                </c:pt>
                <c:pt idx="32">
                  <c:v>4.8899999999999997</c:v>
                </c:pt>
                <c:pt idx="33">
                  <c:v>4.49</c:v>
                </c:pt>
                <c:pt idx="34">
                  <c:v>6.48</c:v>
                </c:pt>
                <c:pt idx="35">
                  <c:v>5.08</c:v>
                </c:pt>
                <c:pt idx="36">
                  <c:v>6.8</c:v>
                </c:pt>
                <c:pt idx="37">
                  <c:v>4.5</c:v>
                </c:pt>
                <c:pt idx="38">
                  <c:v>5</c:v>
                </c:pt>
                <c:pt idx="39">
                  <c:v>5.4</c:v>
                </c:pt>
                <c:pt idx="40">
                  <c:v>5.1100000000000003</c:v>
                </c:pt>
                <c:pt idx="41">
                  <c:v>4.8600000000000003</c:v>
                </c:pt>
                <c:pt idx="42">
                  <c:v>6.83</c:v>
                </c:pt>
                <c:pt idx="43">
                  <c:v>5.75</c:v>
                </c:pt>
                <c:pt idx="44">
                  <c:v>6.08</c:v>
                </c:pt>
                <c:pt idx="45">
                  <c:v>5.29</c:v>
                </c:pt>
                <c:pt idx="46">
                  <c:v>7.18</c:v>
                </c:pt>
                <c:pt idx="47">
                  <c:v>5.1100000000000003</c:v>
                </c:pt>
                <c:pt idx="48">
                  <c:v>6.7</c:v>
                </c:pt>
                <c:pt idx="49">
                  <c:v>6.6</c:v>
                </c:pt>
                <c:pt idx="50">
                  <c:v>4.59</c:v>
                </c:pt>
                <c:pt idx="51">
                  <c:v>4.8499999999999996</c:v>
                </c:pt>
                <c:pt idx="52">
                  <c:v>4.3</c:v>
                </c:pt>
                <c:pt idx="53">
                  <c:v>3.87</c:v>
                </c:pt>
                <c:pt idx="54">
                  <c:v>7.32</c:v>
                </c:pt>
                <c:pt idx="55">
                  <c:v>8.31</c:v>
                </c:pt>
                <c:pt idx="56">
                  <c:v>5.9</c:v>
                </c:pt>
                <c:pt idx="57">
                  <c:v>5.55</c:v>
                </c:pt>
                <c:pt idx="58">
                  <c:v>5.0949999999999998</c:v>
                </c:pt>
                <c:pt idx="59">
                  <c:v>3.605</c:v>
                </c:pt>
                <c:pt idx="60">
                  <c:v>5.2750000000000004</c:v>
                </c:pt>
                <c:pt idx="61">
                  <c:v>4.3149999999999995</c:v>
                </c:pt>
                <c:pt idx="62">
                  <c:v>3.3650000000000002</c:v>
                </c:pt>
                <c:pt idx="63">
                  <c:v>1.85</c:v>
                </c:pt>
                <c:pt idx="64">
                  <c:v>4.0500000000000007</c:v>
                </c:pt>
                <c:pt idx="65">
                  <c:v>4.0350000000000001</c:v>
                </c:pt>
                <c:pt idx="66">
                  <c:v>7.4550000000000001</c:v>
                </c:pt>
                <c:pt idx="67">
                  <c:v>7.17</c:v>
                </c:pt>
                <c:pt idx="68">
                  <c:v>6.4349999999999996</c:v>
                </c:pt>
                <c:pt idx="69">
                  <c:v>5.68</c:v>
                </c:pt>
                <c:pt idx="70">
                  <c:v>3.92</c:v>
                </c:pt>
                <c:pt idx="71">
                  <c:v>3.0149999999999997</c:v>
                </c:pt>
                <c:pt idx="72">
                  <c:v>4.9349999999999996</c:v>
                </c:pt>
                <c:pt idx="73">
                  <c:v>3.63</c:v>
                </c:pt>
                <c:pt idx="74">
                  <c:v>6.2850000000000001</c:v>
                </c:pt>
                <c:pt idx="75">
                  <c:v>6.1899999999999995</c:v>
                </c:pt>
                <c:pt idx="76">
                  <c:v>6.9950000000000001</c:v>
                </c:pt>
                <c:pt idx="77">
                  <c:v>6.71</c:v>
                </c:pt>
                <c:pt idx="78">
                  <c:v>4.0031175943630695</c:v>
                </c:pt>
                <c:pt idx="79">
                  <c:v>3.2447645259756541</c:v>
                </c:pt>
                <c:pt idx="80">
                  <c:v>4.6447229794287646</c:v>
                </c:pt>
                <c:pt idx="81">
                  <c:v>4.3379406673469338</c:v>
                </c:pt>
                <c:pt idx="82">
                  <c:v>4.7636895806130495</c:v>
                </c:pt>
                <c:pt idx="83">
                  <c:v>4.3469741046095756</c:v>
                </c:pt>
                <c:pt idx="84">
                  <c:v>4.6223626657569383</c:v>
                </c:pt>
                <c:pt idx="85">
                  <c:v>4.3495992601465066</c:v>
                </c:pt>
                <c:pt idx="86">
                  <c:v>5.4495414114075471</c:v>
                </c:pt>
                <c:pt idx="87">
                  <c:v>4.9751605847580676</c:v>
                </c:pt>
                <c:pt idx="88">
                  <c:v>4.7201106321793223</c:v>
                </c:pt>
                <c:pt idx="89">
                  <c:v>4.4589205928197435</c:v>
                </c:pt>
                <c:pt idx="90">
                  <c:v>4.8166509961856017</c:v>
                </c:pt>
                <c:pt idx="91">
                  <c:v>4.7231096730972268</c:v>
                </c:pt>
                <c:pt idx="92">
                  <c:v>5.4551110398428113</c:v>
                </c:pt>
                <c:pt idx="93">
                  <c:v>1.8757700330873339</c:v>
                </c:pt>
                <c:pt idx="94">
                  <c:v>4.046217937462278</c:v>
                </c:pt>
                <c:pt idx="95">
                  <c:v>2.5681368175598447</c:v>
                </c:pt>
                <c:pt idx="96">
                  <c:v>3.8622283837965741</c:v>
                </c:pt>
                <c:pt idx="97">
                  <c:v>3.9702958122552809</c:v>
                </c:pt>
                <c:pt idx="98">
                  <c:v>5.0030366463147544</c:v>
                </c:pt>
                <c:pt idx="99">
                  <c:v>4.4768743218941252</c:v>
                </c:pt>
                <c:pt idx="100">
                  <c:v>5.7685811040231219</c:v>
                </c:pt>
                <c:pt idx="101">
                  <c:v>4.9543966079129547</c:v>
                </c:pt>
                <c:pt idx="103">
                  <c:v>3.8492029426937631</c:v>
                </c:pt>
                <c:pt idx="104">
                  <c:v>5.3672758086079702</c:v>
                </c:pt>
                <c:pt idx="105">
                  <c:v>3.2885007009480738</c:v>
                </c:pt>
                <c:pt idx="106">
                  <c:v>4.3691549390723106</c:v>
                </c:pt>
                <c:pt idx="107">
                  <c:v>3.5337523975241938</c:v>
                </c:pt>
                <c:pt idx="108">
                  <c:v>4.3392171307396668</c:v>
                </c:pt>
                <c:pt idx="109">
                  <c:v>3.6723092941077655</c:v>
                </c:pt>
                <c:pt idx="110">
                  <c:v>6.159555630164788</c:v>
                </c:pt>
                <c:pt idx="111">
                  <c:v>6.2066933272466001</c:v>
                </c:pt>
                <c:pt idx="112">
                  <c:v>5.0281204990341077</c:v>
                </c:pt>
                <c:pt idx="113">
                  <c:v>5.1144867205300999</c:v>
                </c:pt>
                <c:pt idx="114">
                  <c:v>3.3415021401924205</c:v>
                </c:pt>
                <c:pt idx="115">
                  <c:v>3.7634448033719914</c:v>
                </c:pt>
                <c:pt idx="116">
                  <c:v>4.3546785455129156</c:v>
                </c:pt>
                <c:pt idx="117">
                  <c:v>3.7542312938080613</c:v>
                </c:pt>
                <c:pt idx="118">
                  <c:v>6.4049718288005755</c:v>
                </c:pt>
                <c:pt idx="119">
                  <c:v>4.7084446438897745</c:v>
                </c:pt>
                <c:pt idx="120">
                  <c:v>7.493987987888981</c:v>
                </c:pt>
                <c:pt idx="121">
                  <c:v>3.9348792410249156</c:v>
                </c:pt>
                <c:pt idx="122" formatCode="General">
                  <c:v>7.1</c:v>
                </c:pt>
                <c:pt idx="123" formatCode="General">
                  <c:v>3.9</c:v>
                </c:pt>
                <c:pt idx="124" formatCode="General">
                  <c:v>3.6</c:v>
                </c:pt>
                <c:pt idx="125" formatCode="General">
                  <c:v>0</c:v>
                </c:pt>
                <c:pt idx="126" formatCode="General">
                  <c:v>5.4</c:v>
                </c:pt>
                <c:pt idx="127" formatCode="General">
                  <c:v>0.18</c:v>
                </c:pt>
                <c:pt idx="128">
                  <c:v>3.45</c:v>
                </c:pt>
                <c:pt idx="129">
                  <c:v>3.25</c:v>
                </c:pt>
                <c:pt idx="130">
                  <c:v>5.45</c:v>
                </c:pt>
                <c:pt idx="131">
                  <c:v>5</c:v>
                </c:pt>
                <c:pt idx="132">
                  <c:v>4.83</c:v>
                </c:pt>
                <c:pt idx="133">
                  <c:v>4.4400000000000004</c:v>
                </c:pt>
                <c:pt idx="134">
                  <c:v>4.99</c:v>
                </c:pt>
                <c:pt idx="135">
                  <c:v>4.8499999999999996</c:v>
                </c:pt>
              </c:numCache>
            </c:numRef>
          </c:yVal>
        </c:ser>
        <c:axId val="52594560"/>
        <c:axId val="53181056"/>
      </c:scatterChart>
      <c:valAx>
        <c:axId val="52594560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1056"/>
        <c:crosses val="autoZero"/>
        <c:crossBetween val="midCat"/>
      </c:valAx>
      <c:valAx>
        <c:axId val="531810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D.O. - mg/L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37194127243067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94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0.08325</cdr:x>
      <cdr:y>0.777</cdr:y>
    </cdr:from>
    <cdr:to>
      <cdr:x>0.96825</cdr:x>
      <cdr:y>0.777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14454" y="4536767"/>
          <a:ext cx="759509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lgDash"/>
          <a:round/>
          <a:headEnd/>
          <a:tailEnd/>
        </a:ln>
      </cdr:spPr>
    </cdr:sp>
  </cdr:relSizeAnchor>
  <cdr:relSizeAnchor xmlns:cdr="http://schemas.openxmlformats.org/drawingml/2006/chartDrawing">
    <cdr:from>
      <cdr:x>0.3035</cdr:x>
      <cdr:y>0.777</cdr:y>
    </cdr:from>
    <cdr:to>
      <cdr:x>0.32475</cdr:x>
      <cdr:y>0.79325</cdr:y>
    </cdr:to>
    <cdr:sp macro="" textlink="">
      <cdr:nvSpPr>
        <cdr:cNvPr id="307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04645" y="4536767"/>
          <a:ext cx="182368" cy="948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0.69335</cdr:x>
      <cdr:y>0.35549</cdr:y>
    </cdr:from>
    <cdr:to>
      <cdr:x>0.9536</cdr:x>
      <cdr:y>0.48899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0353" y="2075617"/>
          <a:ext cx="2233472" cy="7794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MEP Total Nitrogen Threshold (0.5mg/L) for benthic organisms; TN above this threshold exceeds the level for healthy benthic organisms </a:t>
          </a:r>
        </a:p>
      </cdr:txBody>
    </cdr:sp>
  </cdr:relSizeAnchor>
  <cdr:relSizeAnchor xmlns:cdr="http://schemas.openxmlformats.org/drawingml/2006/chartDrawing">
    <cdr:from>
      <cdr:x>0.90521</cdr:x>
      <cdr:y>0.4894</cdr:y>
    </cdr:from>
    <cdr:to>
      <cdr:x>0.90725</cdr:x>
      <cdr:y>0.77376</cdr:y>
    </cdr:to>
    <cdr:sp macro="" textlink="">
      <cdr:nvSpPr>
        <cdr:cNvPr id="6" name="Straight Arrow Connector 5"/>
        <cdr:cNvSpPr/>
      </cdr:nvSpPr>
      <cdr:spPr>
        <a:xfrm xmlns:a="http://schemas.openxmlformats.org/drawingml/2006/main" flipH="1">
          <a:off x="7768555" y="2857500"/>
          <a:ext cx="17477" cy="166032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0.08852</cdr:x>
      <cdr:y>0.84445</cdr:y>
    </cdr:from>
    <cdr:to>
      <cdr:x>0.96577</cdr:x>
      <cdr:y>0.84445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9666" y="4930572"/>
          <a:ext cx="752858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lgDash"/>
          <a:round/>
          <a:headEnd/>
          <a:tailEnd/>
        </a:ln>
      </cdr:spPr>
    </cdr:sp>
  </cdr:relSizeAnchor>
  <cdr:relSizeAnchor xmlns:cdr="http://schemas.openxmlformats.org/drawingml/2006/chartDrawing">
    <cdr:from>
      <cdr:x>0.58598</cdr:x>
      <cdr:y>0.85118</cdr:y>
    </cdr:from>
    <cdr:to>
      <cdr:x>0.64123</cdr:x>
      <cdr:y>0.87518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28922" y="4969887"/>
          <a:ext cx="474157" cy="1401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0.275</cdr:x>
      <cdr:y>0.84375</cdr:y>
    </cdr:from>
    <cdr:to>
      <cdr:x>0.58</cdr:x>
      <cdr:y>0.9275</cdr:y>
    </cdr:to>
    <cdr:sp macro="" textlink="">
      <cdr:nvSpPr>
        <cdr:cNvPr id="410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0057" y="4926509"/>
          <a:ext cx="2617518" cy="4890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Chl A is a measure of phytoplankton (algae); levels above 5 ug/L indicate negative impact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0.0775</cdr:x>
      <cdr:y>0.62975</cdr:y>
    </cdr:from>
    <cdr:to>
      <cdr:x>0.9635</cdr:x>
      <cdr:y>0.62975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5107" y="3677000"/>
          <a:ext cx="76036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0.0775</cdr:x>
      <cdr:y>0.37525</cdr:y>
    </cdr:from>
    <cdr:to>
      <cdr:x>0.9635</cdr:x>
      <cdr:y>0.37525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5107" y="2191019"/>
          <a:ext cx="76036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0.09675</cdr:x>
      <cdr:y>0.23125</cdr:y>
    </cdr:from>
    <cdr:to>
      <cdr:x>0.3155</cdr:x>
      <cdr:y>0.261</cdr:y>
    </cdr:to>
    <cdr:sp macro="" textlink="">
      <cdr:nvSpPr>
        <cdr:cNvPr id="10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0311" y="1350228"/>
          <a:ext cx="1877318" cy="1737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 SA Waters Criteria</a:t>
          </a:r>
        </a:p>
      </cdr:txBody>
    </cdr:sp>
  </cdr:relSizeAnchor>
  <cdr:relSizeAnchor xmlns:cdr="http://schemas.openxmlformats.org/drawingml/2006/chartDrawing">
    <cdr:from>
      <cdr:x>0.1355</cdr:x>
      <cdr:y>0.261</cdr:y>
    </cdr:from>
    <cdr:to>
      <cdr:x>0.20075</cdr:x>
      <cdr:y>0.37525</cdr:y>
    </cdr:to>
    <cdr:sp macro="" textlink="">
      <cdr:nvSpPr>
        <cdr:cNvPr id="102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62864" y="1523933"/>
          <a:ext cx="559978" cy="6670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0.25475</cdr:x>
      <cdr:y>0.62975</cdr:y>
    </cdr:from>
    <cdr:to>
      <cdr:x>0.298</cdr:x>
      <cdr:y>0.6735</cdr:y>
    </cdr:to>
    <cdr:sp macro="" textlink="">
      <cdr:nvSpPr>
        <cdr:cNvPr id="103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86271" y="3677000"/>
          <a:ext cx="371172" cy="2554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0.1285</cdr:x>
      <cdr:y>0.6735</cdr:y>
    </cdr:from>
    <cdr:to>
      <cdr:x>0.40825</cdr:x>
      <cdr:y>0.79775</cdr:y>
    </cdr:to>
    <cdr:sp macro="" textlink="">
      <cdr:nvSpPr>
        <cdr:cNvPr id="103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2790" y="3932449"/>
          <a:ext cx="2400822" cy="7254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Levels at 3 mg/L and below indicate not enough oxygen - plants/animals exist in extremely stressful conditions; result in die-off and relocation of some species</a:t>
          </a:r>
        </a:p>
      </cdr:txBody>
    </cdr:sp>
  </cdr:relSizeAnchor>
  <cdr:relSizeAnchor xmlns:cdr="http://schemas.openxmlformats.org/drawingml/2006/chartDrawing">
    <cdr:from>
      <cdr:x>0.3075</cdr:x>
      <cdr:y>0.53025</cdr:y>
    </cdr:from>
    <cdr:to>
      <cdr:x>0.596</cdr:x>
      <cdr:y>0.61825</cdr:y>
    </cdr:to>
    <cdr:sp macro="" textlink="">
      <cdr:nvSpPr>
        <cdr:cNvPr id="103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8973" y="3096037"/>
          <a:ext cx="2475914" cy="5138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Aquatic organisms are under stress when DO is between 6 - 3 mg/L. The lower the concentration the greater the stress.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topLeftCell="A5" workbookViewId="0">
      <selection activeCell="H62" sqref="H62"/>
    </sheetView>
  </sheetViews>
  <sheetFormatPr defaultRowHeight="12.75"/>
  <cols>
    <col min="3" max="3" width="16.7109375" customWidth="1"/>
  </cols>
  <sheetData>
    <row r="1" spans="1:44">
      <c r="L1" s="2" t="s">
        <v>0</v>
      </c>
      <c r="X1" s="2" t="s">
        <v>0</v>
      </c>
    </row>
    <row r="3" spans="1:44" s="38" customFormat="1">
      <c r="F3" s="19"/>
      <c r="G3" s="19"/>
      <c r="H3" s="19"/>
      <c r="I3" s="19"/>
      <c r="J3" s="20"/>
      <c r="K3" s="20"/>
      <c r="L3" s="19"/>
      <c r="M3" s="20"/>
      <c r="N3" s="20"/>
      <c r="P3" s="40"/>
      <c r="S3" s="20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39"/>
      <c r="AK3" s="19"/>
      <c r="AL3" s="5"/>
      <c r="AM3" s="39"/>
      <c r="AN3" s="19"/>
    </row>
    <row r="4" spans="1:44" s="38" customFormat="1">
      <c r="B4" s="7"/>
      <c r="C4" s="7"/>
      <c r="D4" s="8"/>
      <c r="F4" s="9" t="s">
        <v>1</v>
      </c>
      <c r="G4" s="9" t="s">
        <v>2</v>
      </c>
      <c r="H4" s="9" t="s">
        <v>74</v>
      </c>
      <c r="I4" s="9"/>
      <c r="J4" s="10" t="s">
        <v>3</v>
      </c>
      <c r="K4" s="10"/>
      <c r="L4" s="9"/>
      <c r="M4" s="10"/>
      <c r="N4" s="10"/>
      <c r="O4" s="7"/>
      <c r="P4" s="41"/>
      <c r="Q4" s="7" t="s">
        <v>4</v>
      </c>
      <c r="R4" s="7" t="s">
        <v>5</v>
      </c>
      <c r="S4" s="35" t="s">
        <v>6</v>
      </c>
      <c r="T4" s="42"/>
      <c r="U4" s="42"/>
      <c r="V4" s="42"/>
      <c r="W4" s="42"/>
      <c r="X4" s="19"/>
      <c r="Y4" s="42"/>
      <c r="Z4" s="42"/>
      <c r="AA4" s="42"/>
      <c r="AB4" s="42" t="s">
        <v>7</v>
      </c>
      <c r="AC4" s="42" t="s">
        <v>8</v>
      </c>
      <c r="AD4" s="42"/>
      <c r="AE4" s="42"/>
      <c r="AF4" s="42"/>
      <c r="AG4" s="42"/>
      <c r="AH4" s="42"/>
      <c r="AI4" s="42"/>
      <c r="AJ4" s="43"/>
      <c r="AK4" s="42"/>
      <c r="AL4" s="5"/>
      <c r="AM4" s="39"/>
      <c r="AN4" s="42"/>
      <c r="AP4" s="42" t="s">
        <v>9</v>
      </c>
      <c r="AQ4" s="44" t="s">
        <v>9</v>
      </c>
    </row>
    <row r="5" spans="1:44" s="38" customFormat="1" ht="15">
      <c r="A5" s="7" t="s">
        <v>10</v>
      </c>
      <c r="B5" s="7" t="s">
        <v>11</v>
      </c>
      <c r="C5" s="7" t="s">
        <v>12</v>
      </c>
      <c r="D5" s="8"/>
      <c r="E5" s="7" t="s">
        <v>14</v>
      </c>
      <c r="F5" s="9" t="s">
        <v>15</v>
      </c>
      <c r="G5" s="9" t="s">
        <v>16</v>
      </c>
      <c r="H5" s="9" t="s">
        <v>16</v>
      </c>
      <c r="I5" s="9" t="s">
        <v>17</v>
      </c>
      <c r="J5" s="10" t="s">
        <v>15</v>
      </c>
      <c r="K5" s="10" t="s">
        <v>18</v>
      </c>
      <c r="L5" s="9" t="s">
        <v>19</v>
      </c>
      <c r="M5" s="10" t="s">
        <v>20</v>
      </c>
      <c r="N5" s="10" t="s">
        <v>71</v>
      </c>
      <c r="O5" s="7" t="s">
        <v>21</v>
      </c>
      <c r="P5" s="11" t="s">
        <v>22</v>
      </c>
      <c r="Q5" s="12" t="s">
        <v>23</v>
      </c>
      <c r="R5" s="12" t="s">
        <v>24</v>
      </c>
      <c r="S5" s="10" t="s">
        <v>25</v>
      </c>
      <c r="T5" s="9" t="s">
        <v>26</v>
      </c>
      <c r="U5" s="9" t="s">
        <v>27</v>
      </c>
      <c r="V5" s="9" t="s">
        <v>28</v>
      </c>
      <c r="W5" s="9" t="s">
        <v>29</v>
      </c>
      <c r="X5" s="9" t="s">
        <v>30</v>
      </c>
      <c r="Y5" s="9" t="s">
        <v>31</v>
      </c>
      <c r="Z5" s="9" t="s">
        <v>17</v>
      </c>
      <c r="AA5" s="9" t="s">
        <v>32</v>
      </c>
      <c r="AB5" s="9" t="s">
        <v>33</v>
      </c>
      <c r="AC5" s="9" t="s">
        <v>33</v>
      </c>
      <c r="AD5" s="9" t="s">
        <v>34</v>
      </c>
      <c r="AE5" s="9" t="s">
        <v>17</v>
      </c>
      <c r="AF5" s="9" t="s">
        <v>35</v>
      </c>
      <c r="AG5" s="9" t="s">
        <v>36</v>
      </c>
      <c r="AH5" s="9" t="s">
        <v>37</v>
      </c>
      <c r="AI5" s="9" t="s">
        <v>38</v>
      </c>
      <c r="AJ5" s="13" t="s">
        <v>39</v>
      </c>
      <c r="AK5" s="9" t="s">
        <v>17</v>
      </c>
      <c r="AL5" s="13" t="s">
        <v>72</v>
      </c>
      <c r="AM5" s="13" t="s">
        <v>40</v>
      </c>
      <c r="AN5" s="9" t="s">
        <v>41</v>
      </c>
      <c r="AP5" s="42" t="s">
        <v>42</v>
      </c>
      <c r="AQ5" s="44" t="s">
        <v>70</v>
      </c>
    </row>
    <row r="6" spans="1:44" s="38" customFormat="1">
      <c r="A6" s="38">
        <v>3</v>
      </c>
      <c r="B6" s="14" t="s">
        <v>43</v>
      </c>
      <c r="C6" s="38" t="s">
        <v>0</v>
      </c>
      <c r="D6" s="15">
        <v>37097</v>
      </c>
      <c r="E6" s="7"/>
      <c r="F6" s="19"/>
      <c r="G6" s="16"/>
      <c r="H6" s="16"/>
      <c r="I6" s="16"/>
      <c r="J6" s="17"/>
      <c r="K6" s="17"/>
      <c r="L6" s="16">
        <v>5.8</v>
      </c>
      <c r="M6" s="17">
        <v>80.8</v>
      </c>
      <c r="N6" s="17"/>
      <c r="O6" s="7"/>
      <c r="P6" s="11"/>
      <c r="Q6" s="12"/>
      <c r="R6" s="12"/>
      <c r="S6" s="10"/>
      <c r="T6" s="9"/>
      <c r="U6" s="9"/>
      <c r="V6" s="16">
        <f t="shared" ref="V6:V69" si="0">U6*0.014</f>
        <v>0</v>
      </c>
      <c r="W6" s="9"/>
      <c r="X6" s="16">
        <f t="shared" ref="X6:X69" si="1">W6*0.014</f>
        <v>0</v>
      </c>
      <c r="Y6" s="16">
        <v>5.9</v>
      </c>
      <c r="Z6" s="16"/>
      <c r="AA6" s="16">
        <v>137.4</v>
      </c>
      <c r="AB6" s="16">
        <v>8.81</v>
      </c>
      <c r="AC6" s="16">
        <v>2.3199999999999998</v>
      </c>
      <c r="AD6" s="16">
        <v>11.13</v>
      </c>
      <c r="AE6" s="16"/>
      <c r="AF6" s="16"/>
      <c r="AG6" s="16"/>
      <c r="AH6" s="16">
        <v>14.25</v>
      </c>
      <c r="AI6" s="16">
        <v>151.65</v>
      </c>
      <c r="AJ6" s="39">
        <v>2.1231</v>
      </c>
      <c r="AK6" s="16"/>
      <c r="AL6" s="5">
        <f t="shared" ref="AL6:AL95" si="2">SUM(Y6+AA6+AH6)*0.014</f>
        <v>2.2057000000000002</v>
      </c>
      <c r="AM6" s="5"/>
      <c r="AN6" s="16"/>
      <c r="AP6" s="19">
        <f t="shared" ref="AP6:AP69" si="3">Y6+AI6</f>
        <v>157.55000000000001</v>
      </c>
      <c r="AQ6" s="39">
        <f t="shared" ref="AQ6:AQ69" si="4">AP6*0.014</f>
        <v>2.2057000000000002</v>
      </c>
    </row>
    <row r="7" spans="1:44" s="38" customFormat="1" hidden="1">
      <c r="A7" s="38">
        <v>3</v>
      </c>
      <c r="B7" s="14" t="s">
        <v>44</v>
      </c>
      <c r="C7" s="38" t="s">
        <v>0</v>
      </c>
      <c r="D7" s="15">
        <v>37097</v>
      </c>
      <c r="E7" s="7"/>
      <c r="F7" s="19"/>
      <c r="G7" s="16"/>
      <c r="H7" s="16"/>
      <c r="I7" s="16"/>
      <c r="J7" s="17"/>
      <c r="K7" s="17"/>
      <c r="L7" s="16">
        <v>4.3</v>
      </c>
      <c r="M7" s="17">
        <v>55.2</v>
      </c>
      <c r="N7" s="17"/>
      <c r="O7" s="7"/>
      <c r="P7" s="11"/>
      <c r="Q7" s="12"/>
      <c r="R7" s="12"/>
      <c r="S7" s="10"/>
      <c r="T7" s="9"/>
      <c r="U7" s="9"/>
      <c r="V7" s="16">
        <f t="shared" si="0"/>
        <v>0</v>
      </c>
      <c r="W7" s="9"/>
      <c r="X7" s="16">
        <f t="shared" si="1"/>
        <v>0</v>
      </c>
      <c r="Y7" s="16">
        <v>4.0999999999999996</v>
      </c>
      <c r="Z7" s="16"/>
      <c r="AA7" s="16">
        <v>32.5</v>
      </c>
      <c r="AB7" s="16">
        <v>7.81</v>
      </c>
      <c r="AC7" s="16">
        <v>4.96</v>
      </c>
      <c r="AD7" s="16">
        <v>12.77</v>
      </c>
      <c r="AE7" s="16"/>
      <c r="AF7" s="16"/>
      <c r="AG7" s="16"/>
      <c r="AH7" s="16">
        <v>12.74</v>
      </c>
      <c r="AI7" s="16">
        <v>45.24</v>
      </c>
      <c r="AJ7" s="39">
        <v>0.63336000000000003</v>
      </c>
      <c r="AK7" s="16"/>
      <c r="AL7" s="5">
        <f t="shared" si="2"/>
        <v>0.69076000000000004</v>
      </c>
      <c r="AM7" s="5"/>
      <c r="AN7" s="16"/>
      <c r="AP7" s="19">
        <f t="shared" si="3"/>
        <v>49.34</v>
      </c>
      <c r="AQ7" s="39">
        <f t="shared" si="4"/>
        <v>0.69076000000000004</v>
      </c>
    </row>
    <row r="8" spans="1:44" s="38" customFormat="1" hidden="1">
      <c r="A8" s="38" t="s">
        <v>45</v>
      </c>
      <c r="B8" s="14" t="s">
        <v>46</v>
      </c>
      <c r="C8" s="38" t="s">
        <v>0</v>
      </c>
      <c r="D8" s="15">
        <v>37097</v>
      </c>
      <c r="E8" s="7"/>
      <c r="F8" s="19"/>
      <c r="G8" s="16">
        <v>1.18</v>
      </c>
      <c r="H8" s="16"/>
      <c r="I8" s="16"/>
      <c r="J8" s="17">
        <v>3.3</v>
      </c>
      <c r="K8" s="17"/>
      <c r="L8" s="16"/>
      <c r="M8" s="17"/>
      <c r="N8" s="17"/>
      <c r="O8" s="7"/>
      <c r="P8" s="11"/>
      <c r="Q8" s="12"/>
      <c r="R8" s="12"/>
      <c r="S8" s="10"/>
      <c r="T8" s="9"/>
      <c r="U8" s="9"/>
      <c r="V8" s="16">
        <f t="shared" si="0"/>
        <v>0</v>
      </c>
      <c r="W8" s="9"/>
      <c r="X8" s="16">
        <f t="shared" si="1"/>
        <v>0</v>
      </c>
      <c r="Y8" s="16">
        <v>5</v>
      </c>
      <c r="Z8" s="16"/>
      <c r="AA8" s="16">
        <v>84.5</v>
      </c>
      <c r="AB8" s="16">
        <v>8.31</v>
      </c>
      <c r="AC8" s="16">
        <v>3.64</v>
      </c>
      <c r="AD8" s="16">
        <v>11.95</v>
      </c>
      <c r="AE8" s="16"/>
      <c r="AF8" s="16"/>
      <c r="AG8" s="16"/>
      <c r="AH8" s="16">
        <v>13.494999999999999</v>
      </c>
      <c r="AI8" s="16">
        <v>98.444999999999993</v>
      </c>
      <c r="AJ8" s="39">
        <v>1.3782299999999998</v>
      </c>
      <c r="AK8" s="16"/>
      <c r="AL8" s="5">
        <f t="shared" si="2"/>
        <v>1.4419300000000002</v>
      </c>
      <c r="AM8" s="5"/>
      <c r="AN8" s="16"/>
      <c r="AP8" s="19">
        <f t="shared" si="3"/>
        <v>103.44499999999999</v>
      </c>
      <c r="AQ8" s="39">
        <f t="shared" si="4"/>
        <v>1.4482299999999999</v>
      </c>
    </row>
    <row r="9" spans="1:44" s="38" customFormat="1">
      <c r="A9" s="38">
        <v>3</v>
      </c>
      <c r="B9" s="14" t="s">
        <v>43</v>
      </c>
      <c r="C9" s="38" t="s">
        <v>0</v>
      </c>
      <c r="D9" s="15">
        <v>37112</v>
      </c>
      <c r="E9" s="7"/>
      <c r="F9" s="19"/>
      <c r="G9" s="16"/>
      <c r="H9" s="16"/>
      <c r="I9" s="16"/>
      <c r="J9" s="17"/>
      <c r="K9" s="17"/>
      <c r="L9" s="16">
        <v>7</v>
      </c>
      <c r="M9" s="17">
        <v>97</v>
      </c>
      <c r="N9" s="17"/>
      <c r="O9" s="7"/>
      <c r="P9" s="11"/>
      <c r="Q9" s="12"/>
      <c r="R9" s="12"/>
      <c r="S9" s="10"/>
      <c r="T9" s="9"/>
      <c r="U9" s="9"/>
      <c r="V9" s="16">
        <f t="shared" si="0"/>
        <v>0</v>
      </c>
      <c r="W9" s="9"/>
      <c r="X9" s="16">
        <f t="shared" si="1"/>
        <v>0</v>
      </c>
      <c r="Y9" s="16">
        <v>1.2</v>
      </c>
      <c r="Z9" s="16"/>
      <c r="AA9" s="16">
        <v>28.6</v>
      </c>
      <c r="AB9" s="16">
        <v>8.68</v>
      </c>
      <c r="AC9" s="16">
        <v>1.18</v>
      </c>
      <c r="AD9" s="16">
        <v>9.86</v>
      </c>
      <c r="AE9" s="16"/>
      <c r="AF9" s="16"/>
      <c r="AG9" s="16"/>
      <c r="AH9" s="16">
        <v>8.4499999999999993</v>
      </c>
      <c r="AI9" s="16">
        <v>37.049999999999997</v>
      </c>
      <c r="AJ9" s="39">
        <v>0.51869999999999994</v>
      </c>
      <c r="AK9" s="16"/>
      <c r="AL9" s="5">
        <f t="shared" si="2"/>
        <v>0.53549999999999998</v>
      </c>
      <c r="AM9" s="5"/>
      <c r="AN9" s="16"/>
      <c r="AO9" s="14"/>
      <c r="AP9" s="19">
        <f t="shared" si="3"/>
        <v>38.25</v>
      </c>
      <c r="AQ9" s="39">
        <f t="shared" si="4"/>
        <v>0.53549999999999998</v>
      </c>
      <c r="AR9" s="14"/>
    </row>
    <row r="10" spans="1:44" s="38" customFormat="1" hidden="1">
      <c r="A10" s="38">
        <v>3</v>
      </c>
      <c r="B10" s="14" t="s">
        <v>44</v>
      </c>
      <c r="C10" s="38" t="s">
        <v>0</v>
      </c>
      <c r="D10" s="15">
        <v>37112</v>
      </c>
      <c r="E10" s="7"/>
      <c r="F10" s="19"/>
      <c r="G10" s="16"/>
      <c r="H10" s="16"/>
      <c r="I10" s="16"/>
      <c r="J10" s="17"/>
      <c r="K10" s="17"/>
      <c r="L10" s="16">
        <v>4.0999999999999996</v>
      </c>
      <c r="M10" s="17">
        <v>58</v>
      </c>
      <c r="N10" s="17"/>
      <c r="O10" s="7"/>
      <c r="P10" s="11"/>
      <c r="Q10" s="12"/>
      <c r="R10" s="12"/>
      <c r="S10" s="10"/>
      <c r="T10" s="9"/>
      <c r="U10" s="9"/>
      <c r="V10" s="16">
        <f t="shared" si="0"/>
        <v>0</v>
      </c>
      <c r="W10" s="9"/>
      <c r="X10" s="16">
        <f t="shared" si="1"/>
        <v>0</v>
      </c>
      <c r="Y10" s="16">
        <v>1.8</v>
      </c>
      <c r="Z10" s="16"/>
      <c r="AA10" s="16">
        <v>32.6</v>
      </c>
      <c r="AB10" s="16">
        <v>12.38</v>
      </c>
      <c r="AC10" s="16">
        <v>1.85</v>
      </c>
      <c r="AD10" s="16">
        <v>14.23</v>
      </c>
      <c r="AE10" s="16"/>
      <c r="AF10" s="16"/>
      <c r="AG10" s="16"/>
      <c r="AH10" s="16">
        <v>8.7899999999999991</v>
      </c>
      <c r="AI10" s="16">
        <v>41.39</v>
      </c>
      <c r="AJ10" s="39">
        <v>0.57945999999999998</v>
      </c>
      <c r="AK10" s="16"/>
      <c r="AL10" s="5">
        <f t="shared" si="2"/>
        <v>0.60465999999999998</v>
      </c>
      <c r="AM10" s="5"/>
      <c r="AN10" s="16"/>
      <c r="AO10" s="14"/>
      <c r="AP10" s="19">
        <f t="shared" si="3"/>
        <v>43.19</v>
      </c>
      <c r="AQ10" s="39">
        <f t="shared" si="4"/>
        <v>0.60465999999999998</v>
      </c>
      <c r="AR10" s="14"/>
    </row>
    <row r="11" spans="1:44" s="38" customFormat="1" hidden="1">
      <c r="A11" s="38" t="s">
        <v>45</v>
      </c>
      <c r="B11" s="14" t="s">
        <v>46</v>
      </c>
      <c r="C11" s="38" t="s">
        <v>0</v>
      </c>
      <c r="D11" s="15">
        <v>37112</v>
      </c>
      <c r="E11" s="7"/>
      <c r="F11" s="19"/>
      <c r="G11" s="16">
        <v>1.03</v>
      </c>
      <c r="H11" s="16"/>
      <c r="I11" s="16"/>
      <c r="J11" s="17">
        <v>3.3</v>
      </c>
      <c r="K11" s="17"/>
      <c r="L11" s="16"/>
      <c r="M11" s="17"/>
      <c r="N11" s="17"/>
      <c r="O11" s="7"/>
      <c r="P11" s="11"/>
      <c r="Q11" s="12"/>
      <c r="R11" s="12"/>
      <c r="S11" s="10"/>
      <c r="T11" s="9"/>
      <c r="U11" s="9"/>
      <c r="V11" s="16">
        <f t="shared" si="0"/>
        <v>0</v>
      </c>
      <c r="W11" s="9"/>
      <c r="X11" s="16">
        <f t="shared" si="1"/>
        <v>0</v>
      </c>
      <c r="Y11" s="16">
        <v>1.5</v>
      </c>
      <c r="Z11" s="16"/>
      <c r="AA11" s="16">
        <v>30.6</v>
      </c>
      <c r="AB11" s="16">
        <v>10.53</v>
      </c>
      <c r="AC11" s="16">
        <v>1.5149999999999999</v>
      </c>
      <c r="AD11" s="16">
        <v>12.045</v>
      </c>
      <c r="AE11" s="16"/>
      <c r="AF11" s="16"/>
      <c r="AG11" s="16"/>
      <c r="AH11" s="16">
        <v>8.6199999999999992</v>
      </c>
      <c r="AI11" s="16">
        <v>39.22</v>
      </c>
      <c r="AJ11" s="39">
        <v>0.54908000000000001</v>
      </c>
      <c r="AK11" s="16"/>
      <c r="AL11" s="5">
        <f t="shared" si="2"/>
        <v>0.57008000000000003</v>
      </c>
      <c r="AM11" s="5"/>
      <c r="AN11" s="16"/>
      <c r="AO11" s="14"/>
      <c r="AP11" s="19">
        <f t="shared" si="3"/>
        <v>40.72</v>
      </c>
      <c r="AQ11" s="39">
        <f t="shared" si="4"/>
        <v>0.57008000000000003</v>
      </c>
      <c r="AR11" s="14"/>
    </row>
    <row r="12" spans="1:44" s="38" customFormat="1">
      <c r="A12" s="38">
        <v>3</v>
      </c>
      <c r="B12" s="14" t="s">
        <v>43</v>
      </c>
      <c r="C12" s="38" t="s">
        <v>0</v>
      </c>
      <c r="D12" s="15">
        <v>37126</v>
      </c>
      <c r="E12" s="7"/>
      <c r="F12" s="16"/>
      <c r="G12" s="16"/>
      <c r="H12" s="16"/>
      <c r="I12" s="16"/>
      <c r="J12" s="17"/>
      <c r="K12" s="17"/>
      <c r="L12" s="16">
        <v>6.6</v>
      </c>
      <c r="M12" s="17">
        <v>87.5</v>
      </c>
      <c r="N12" s="17"/>
      <c r="O12" s="7"/>
      <c r="P12" s="11"/>
      <c r="Q12" s="12"/>
      <c r="R12" s="12"/>
      <c r="S12" s="10"/>
      <c r="T12" s="9"/>
      <c r="U12" s="9"/>
      <c r="V12" s="16">
        <f t="shared" si="0"/>
        <v>0</v>
      </c>
      <c r="W12" s="9"/>
      <c r="X12" s="16">
        <f t="shared" si="1"/>
        <v>0</v>
      </c>
      <c r="Y12" s="16">
        <v>3.6</v>
      </c>
      <c r="Z12" s="16"/>
      <c r="AA12" s="16">
        <v>33.200000000000003</v>
      </c>
      <c r="AB12" s="16">
        <v>8.01</v>
      </c>
      <c r="AC12" s="16">
        <v>3.19</v>
      </c>
      <c r="AD12" s="16">
        <v>11.2</v>
      </c>
      <c r="AE12" s="16"/>
      <c r="AF12" s="16"/>
      <c r="AG12" s="19"/>
      <c r="AH12" s="16">
        <v>14.23</v>
      </c>
      <c r="AI12" s="16">
        <v>47.43</v>
      </c>
      <c r="AJ12" s="39">
        <v>0.66402000000000005</v>
      </c>
      <c r="AK12" s="16"/>
      <c r="AL12" s="5">
        <f t="shared" si="2"/>
        <v>0.71442000000000005</v>
      </c>
      <c r="AM12" s="5"/>
      <c r="AN12" s="16"/>
      <c r="AP12" s="19">
        <f t="shared" si="3"/>
        <v>51.03</v>
      </c>
      <c r="AQ12" s="39">
        <f t="shared" si="4"/>
        <v>0.71442000000000005</v>
      </c>
    </row>
    <row r="13" spans="1:44" s="38" customFormat="1" hidden="1">
      <c r="A13" s="38">
        <v>3</v>
      </c>
      <c r="B13" s="14" t="s">
        <v>44</v>
      </c>
      <c r="C13" s="38" t="s">
        <v>0</v>
      </c>
      <c r="D13" s="15">
        <v>37126</v>
      </c>
      <c r="E13" s="7"/>
      <c r="F13" s="16"/>
      <c r="G13" s="16"/>
      <c r="H13" s="16"/>
      <c r="I13" s="16"/>
      <c r="J13" s="17"/>
      <c r="K13" s="17"/>
      <c r="L13" s="16">
        <v>3.9</v>
      </c>
      <c r="M13" s="17">
        <v>60.2</v>
      </c>
      <c r="N13" s="17"/>
      <c r="O13" s="7"/>
      <c r="P13" s="11"/>
      <c r="Q13" s="12"/>
      <c r="R13" s="12"/>
      <c r="S13" s="10"/>
      <c r="T13" s="9"/>
      <c r="U13" s="9"/>
      <c r="V13" s="16">
        <f t="shared" si="0"/>
        <v>0</v>
      </c>
      <c r="W13" s="9"/>
      <c r="X13" s="16">
        <f t="shared" si="1"/>
        <v>0</v>
      </c>
      <c r="Y13" s="16">
        <v>4.9000000000000004</v>
      </c>
      <c r="Z13" s="16"/>
      <c r="AA13" s="16">
        <v>28.9</v>
      </c>
      <c r="AB13" s="16">
        <v>7.92</v>
      </c>
      <c r="AC13" s="16">
        <v>3.2</v>
      </c>
      <c r="AD13" s="16">
        <v>11.12</v>
      </c>
      <c r="AE13" s="16"/>
      <c r="AF13" s="16"/>
      <c r="AG13" s="19"/>
      <c r="AH13" s="16">
        <v>16.87</v>
      </c>
      <c r="AI13" s="16">
        <v>45.77</v>
      </c>
      <c r="AJ13" s="39">
        <v>0.64078000000000002</v>
      </c>
      <c r="AK13" s="16"/>
      <c r="AL13" s="5">
        <f t="shared" si="2"/>
        <v>0.70938000000000001</v>
      </c>
      <c r="AM13" s="5"/>
      <c r="AN13" s="16"/>
      <c r="AP13" s="19">
        <f t="shared" si="3"/>
        <v>50.67</v>
      </c>
      <c r="AQ13" s="39">
        <f t="shared" si="4"/>
        <v>0.70938000000000001</v>
      </c>
    </row>
    <row r="14" spans="1:44" s="38" customFormat="1" hidden="1">
      <c r="A14" s="38" t="s">
        <v>45</v>
      </c>
      <c r="B14" s="14" t="s">
        <v>46</v>
      </c>
      <c r="C14" s="38" t="s">
        <v>0</v>
      </c>
      <c r="D14" s="15">
        <v>37126</v>
      </c>
      <c r="E14" s="7"/>
      <c r="F14" s="16">
        <v>3.3</v>
      </c>
      <c r="G14" s="16">
        <v>1.33</v>
      </c>
      <c r="H14" s="16"/>
      <c r="I14" s="16"/>
      <c r="J14" s="17"/>
      <c r="K14" s="17"/>
      <c r="L14" s="16"/>
      <c r="M14" s="17"/>
      <c r="N14" s="17"/>
      <c r="O14" s="7"/>
      <c r="P14" s="11"/>
      <c r="Q14" s="12"/>
      <c r="R14" s="12"/>
      <c r="S14" s="10"/>
      <c r="T14" s="9"/>
      <c r="U14" s="9"/>
      <c r="V14" s="16">
        <f t="shared" si="0"/>
        <v>0</v>
      </c>
      <c r="W14" s="9"/>
      <c r="X14" s="16">
        <f t="shared" si="1"/>
        <v>0</v>
      </c>
      <c r="Y14" s="16">
        <v>4.25</v>
      </c>
      <c r="Z14" s="16"/>
      <c r="AA14" s="16">
        <v>31.05</v>
      </c>
      <c r="AB14" s="16">
        <v>7.9649999999999999</v>
      </c>
      <c r="AC14" s="16">
        <v>3.1949999999999998</v>
      </c>
      <c r="AD14" s="16">
        <v>11.16</v>
      </c>
      <c r="AE14" s="16"/>
      <c r="AF14" s="16"/>
      <c r="AG14" s="19"/>
      <c r="AH14" s="16">
        <v>15.55</v>
      </c>
      <c r="AI14" s="16">
        <v>46.6</v>
      </c>
      <c r="AJ14" s="39">
        <v>0.65239999999999998</v>
      </c>
      <c r="AK14" s="16"/>
      <c r="AL14" s="5">
        <f t="shared" si="2"/>
        <v>0.71189999999999998</v>
      </c>
      <c r="AM14" s="5"/>
      <c r="AN14" s="16"/>
      <c r="AP14" s="19">
        <f t="shared" si="3"/>
        <v>50.85</v>
      </c>
      <c r="AQ14" s="39">
        <f t="shared" si="4"/>
        <v>0.71190000000000009</v>
      </c>
    </row>
    <row r="15" spans="1:44" s="38" customFormat="1">
      <c r="A15" s="38">
        <v>3</v>
      </c>
      <c r="B15" s="14" t="s">
        <v>43</v>
      </c>
      <c r="C15" s="38" t="s">
        <v>0</v>
      </c>
      <c r="D15" s="15">
        <v>37140</v>
      </c>
      <c r="E15" s="7"/>
      <c r="F15" s="16"/>
      <c r="G15" s="16"/>
      <c r="H15" s="16"/>
      <c r="I15" s="16"/>
      <c r="J15" s="17"/>
      <c r="K15" s="17"/>
      <c r="L15" s="16">
        <v>6.2</v>
      </c>
      <c r="M15" s="17">
        <v>118.6</v>
      </c>
      <c r="N15" s="17"/>
      <c r="O15" s="7"/>
      <c r="P15" s="11"/>
      <c r="Q15" s="12"/>
      <c r="R15" s="12"/>
      <c r="S15" s="10"/>
      <c r="T15" s="9"/>
      <c r="U15" s="9"/>
      <c r="V15" s="16">
        <f t="shared" si="0"/>
        <v>0</v>
      </c>
      <c r="W15" s="9"/>
      <c r="X15" s="16">
        <f t="shared" si="1"/>
        <v>0</v>
      </c>
      <c r="Y15" s="16">
        <v>4.7</v>
      </c>
      <c r="Z15" s="16"/>
      <c r="AA15" s="16">
        <v>31.4</v>
      </c>
      <c r="AB15" s="16">
        <v>8.01</v>
      </c>
      <c r="AC15" s="16">
        <v>3.19</v>
      </c>
      <c r="AD15" s="16">
        <v>11.2</v>
      </c>
      <c r="AE15" s="16"/>
      <c r="AF15" s="16"/>
      <c r="AG15" s="16"/>
      <c r="AH15" s="16">
        <v>14.14</v>
      </c>
      <c r="AI15" s="16">
        <v>45.54</v>
      </c>
      <c r="AJ15" s="39">
        <v>0.63756000000000002</v>
      </c>
      <c r="AK15" s="16"/>
      <c r="AL15" s="5">
        <f t="shared" si="2"/>
        <v>0.7033600000000001</v>
      </c>
      <c r="AM15" s="5"/>
      <c r="AN15" s="9"/>
      <c r="AP15" s="19">
        <f t="shared" si="3"/>
        <v>50.24</v>
      </c>
      <c r="AQ15" s="39">
        <f t="shared" si="4"/>
        <v>0.7033600000000001</v>
      </c>
    </row>
    <row r="16" spans="1:44" s="38" customFormat="1" hidden="1">
      <c r="A16" s="38">
        <v>3</v>
      </c>
      <c r="B16" s="14" t="s">
        <v>44</v>
      </c>
      <c r="C16" s="38" t="s">
        <v>0</v>
      </c>
      <c r="D16" s="15">
        <v>37140</v>
      </c>
      <c r="E16" s="7"/>
      <c r="F16" s="16"/>
      <c r="G16" s="16"/>
      <c r="H16" s="16"/>
      <c r="I16" s="16"/>
      <c r="J16" s="17"/>
      <c r="K16" s="17"/>
      <c r="L16" s="16">
        <v>6.5</v>
      </c>
      <c r="M16" s="17">
        <v>86.8</v>
      </c>
      <c r="N16" s="17"/>
      <c r="O16" s="7"/>
      <c r="P16" s="11"/>
      <c r="Q16" s="12"/>
      <c r="R16" s="12"/>
      <c r="S16" s="10"/>
      <c r="T16" s="9"/>
      <c r="U16" s="9"/>
      <c r="V16" s="16">
        <f t="shared" si="0"/>
        <v>0</v>
      </c>
      <c r="W16" s="9"/>
      <c r="X16" s="16">
        <f t="shared" si="1"/>
        <v>0</v>
      </c>
      <c r="Y16" s="16">
        <v>4.9000000000000004</v>
      </c>
      <c r="Z16" s="16"/>
      <c r="AA16" s="16">
        <v>28.4</v>
      </c>
      <c r="AB16" s="16">
        <v>7.92</v>
      </c>
      <c r="AC16" s="16">
        <v>3.2</v>
      </c>
      <c r="AD16" s="16">
        <v>11.12</v>
      </c>
      <c r="AE16" s="16"/>
      <c r="AF16" s="16"/>
      <c r="AG16" s="16"/>
      <c r="AH16" s="16">
        <v>12.84</v>
      </c>
      <c r="AI16" s="16">
        <v>41.24</v>
      </c>
      <c r="AJ16" s="39">
        <v>0.5773600000000001</v>
      </c>
      <c r="AK16" s="16"/>
      <c r="AL16" s="5">
        <f t="shared" si="2"/>
        <v>0.64595999999999998</v>
      </c>
      <c r="AM16" s="5"/>
      <c r="AN16" s="9"/>
      <c r="AP16" s="19">
        <f t="shared" si="3"/>
        <v>46.14</v>
      </c>
      <c r="AQ16" s="39">
        <f t="shared" si="4"/>
        <v>0.64595999999999998</v>
      </c>
    </row>
    <row r="17" spans="1:43" s="38" customFormat="1" hidden="1">
      <c r="A17" s="38" t="s">
        <v>45</v>
      </c>
      <c r="B17" s="14" t="s">
        <v>46</v>
      </c>
      <c r="C17" s="38" t="s">
        <v>0</v>
      </c>
      <c r="D17" s="15">
        <v>37140</v>
      </c>
      <c r="E17" s="7"/>
      <c r="F17" s="16">
        <v>2.8</v>
      </c>
      <c r="G17" s="16">
        <v>1.3</v>
      </c>
      <c r="H17" s="16"/>
      <c r="I17" s="16">
        <f>SUM(G6:G17)/4</f>
        <v>1.21</v>
      </c>
      <c r="J17" s="17"/>
      <c r="K17" s="17"/>
      <c r="L17" s="16"/>
      <c r="M17" s="17"/>
      <c r="N17" s="17">
        <f>SUM(L6:L17)/8</f>
        <v>5.5500000000000007</v>
      </c>
      <c r="O17" s="7"/>
      <c r="P17" s="11"/>
      <c r="Q17" s="12"/>
      <c r="R17" s="12"/>
      <c r="S17" s="10"/>
      <c r="T17" s="9"/>
      <c r="U17" s="9"/>
      <c r="V17" s="16">
        <f t="shared" si="0"/>
        <v>0</v>
      </c>
      <c r="W17" s="9"/>
      <c r="X17" s="16">
        <f t="shared" si="1"/>
        <v>0</v>
      </c>
      <c r="Y17" s="16">
        <v>4.8</v>
      </c>
      <c r="Z17" s="16">
        <f>SUM(Y6:Y17)/12</f>
        <v>3.8874999999999997</v>
      </c>
      <c r="AA17" s="16">
        <v>29.9</v>
      </c>
      <c r="AB17" s="16">
        <v>7.9649999999999999</v>
      </c>
      <c r="AC17" s="16">
        <v>2.1949999999999998</v>
      </c>
      <c r="AD17" s="16">
        <v>10.16</v>
      </c>
      <c r="AE17" s="16">
        <f>SUM(AD6:AD17)/12</f>
        <v>11.495416666666669</v>
      </c>
      <c r="AF17" s="16"/>
      <c r="AG17" s="16"/>
      <c r="AH17" s="16">
        <v>13.49</v>
      </c>
      <c r="AI17" s="16">
        <v>43.39</v>
      </c>
      <c r="AJ17" s="39">
        <v>0.60746</v>
      </c>
      <c r="AK17" s="16">
        <f>SUM(AJ6:AJ17)/12</f>
        <v>0.79679250000000001</v>
      </c>
      <c r="AL17" s="5">
        <f t="shared" si="2"/>
        <v>0.67466000000000004</v>
      </c>
      <c r="AM17" s="5">
        <f>SUM(AL6:AL17)/12</f>
        <v>0.85069249999999996</v>
      </c>
      <c r="AN17" s="9"/>
      <c r="AP17" s="19">
        <f t="shared" si="3"/>
        <v>48.19</v>
      </c>
      <c r="AQ17" s="39">
        <f t="shared" si="4"/>
        <v>0.67466000000000004</v>
      </c>
    </row>
    <row r="18" spans="1:43" s="38" customFormat="1">
      <c r="A18" s="38">
        <v>3</v>
      </c>
      <c r="B18" s="38" t="s">
        <v>43</v>
      </c>
      <c r="C18" s="38" t="s">
        <v>0</v>
      </c>
      <c r="D18" s="36">
        <v>37419</v>
      </c>
      <c r="E18" s="46">
        <v>0.32500000000000001</v>
      </c>
      <c r="F18" s="19">
        <v>2.41</v>
      </c>
      <c r="G18" s="19">
        <v>1.35</v>
      </c>
      <c r="H18" s="19">
        <f>F18-G18</f>
        <v>1.06</v>
      </c>
      <c r="I18" s="19"/>
      <c r="J18" s="20">
        <v>0.5</v>
      </c>
      <c r="K18" s="20">
        <v>18.5</v>
      </c>
      <c r="L18" s="19">
        <v>6.6</v>
      </c>
      <c r="M18" s="20">
        <v>86</v>
      </c>
      <c r="N18" s="20"/>
      <c r="O18" s="38" t="s">
        <v>48</v>
      </c>
      <c r="P18" s="40">
        <v>0</v>
      </c>
      <c r="R18" s="38" t="s">
        <v>49</v>
      </c>
      <c r="S18" s="20">
        <v>30.2</v>
      </c>
      <c r="T18" s="19">
        <v>0.19634800000000002</v>
      </c>
      <c r="U18" s="19">
        <v>13.652192000000001</v>
      </c>
      <c r="V18" s="16">
        <f t="shared" si="0"/>
        <v>0.19113068800000002</v>
      </c>
      <c r="W18" s="19">
        <v>0.24307479507524968</v>
      </c>
      <c r="X18" s="16">
        <f t="shared" si="1"/>
        <v>3.4030471310534955E-3</v>
      </c>
      <c r="Y18" s="19">
        <v>13.895266795075251</v>
      </c>
      <c r="Z18" s="19"/>
      <c r="AA18" s="19">
        <v>6.1132950340036594</v>
      </c>
      <c r="AB18" s="19">
        <v>13.094978571428575</v>
      </c>
      <c r="AC18" s="19">
        <v>2.9789464285714273</v>
      </c>
      <c r="AD18" s="16">
        <v>16.073925000000003</v>
      </c>
      <c r="AE18" s="19"/>
      <c r="AF18" s="19">
        <v>0.81467212093054886</v>
      </c>
      <c r="AG18" s="19">
        <v>104.58422778855835</v>
      </c>
      <c r="AH18" s="19">
        <v>18.005955420786957</v>
      </c>
      <c r="AI18" s="19">
        <v>24.119250454790617</v>
      </c>
      <c r="AJ18" s="39">
        <v>0.33766950636706866</v>
      </c>
      <c r="AK18" s="19"/>
      <c r="AL18" s="5">
        <f t="shared" si="2"/>
        <v>0.53220324149812215</v>
      </c>
      <c r="AM18" s="39"/>
      <c r="AN18" s="19">
        <v>5.8057708938306805</v>
      </c>
      <c r="AP18" s="19">
        <f t="shared" si="3"/>
        <v>38.014517249865868</v>
      </c>
      <c r="AQ18" s="39">
        <f t="shared" si="4"/>
        <v>0.53220324149812215</v>
      </c>
    </row>
    <row r="19" spans="1:43" s="38" customFormat="1" hidden="1">
      <c r="A19" s="38">
        <v>3</v>
      </c>
      <c r="B19" s="38" t="s">
        <v>44</v>
      </c>
      <c r="C19" s="38" t="s">
        <v>0</v>
      </c>
      <c r="D19" s="36">
        <v>37419</v>
      </c>
      <c r="E19" s="46">
        <v>0.3263888888888889</v>
      </c>
      <c r="F19" s="19">
        <v>2.41</v>
      </c>
      <c r="G19" s="19"/>
      <c r="H19" s="19"/>
      <c r="I19" s="19"/>
      <c r="J19" s="20">
        <v>3.9</v>
      </c>
      <c r="K19" s="20">
        <v>18.5</v>
      </c>
      <c r="L19" s="19">
        <v>4.5599999999999996</v>
      </c>
      <c r="M19" s="20">
        <v>58.4</v>
      </c>
      <c r="N19" s="20"/>
      <c r="P19" s="40"/>
      <c r="S19" s="20">
        <v>30.3</v>
      </c>
      <c r="T19" s="19">
        <v>0.64127200000000006</v>
      </c>
      <c r="U19" s="19">
        <v>13.711694499999998</v>
      </c>
      <c r="V19" s="16">
        <f t="shared" si="0"/>
        <v>0.19196372299999998</v>
      </c>
      <c r="W19" s="19">
        <v>0.43345056740566834</v>
      </c>
      <c r="X19" s="16">
        <f t="shared" si="1"/>
        <v>6.0683079436793571E-3</v>
      </c>
      <c r="Y19" s="19">
        <v>14.145145067405666</v>
      </c>
      <c r="Z19" s="19"/>
      <c r="AA19" s="19">
        <v>17.058006038700562</v>
      </c>
      <c r="AB19" s="19">
        <v>7.7316000000000003</v>
      </c>
      <c r="AC19" s="19">
        <v>2.4449400000000008</v>
      </c>
      <c r="AD19" s="16">
        <v>10.176540000000001</v>
      </c>
      <c r="AE19" s="19"/>
      <c r="AF19" s="19">
        <v>0.7597474190638468</v>
      </c>
      <c r="AG19" s="19">
        <v>106.31338476637279</v>
      </c>
      <c r="AH19" s="19">
        <v>15.901727597201226</v>
      </c>
      <c r="AI19" s="19">
        <v>32.959733635901785</v>
      </c>
      <c r="AJ19" s="39">
        <v>0.46143627090262501</v>
      </c>
      <c r="AK19" s="19"/>
      <c r="AL19" s="5">
        <f t="shared" si="2"/>
        <v>0.65946830184630434</v>
      </c>
      <c r="AM19" s="39"/>
      <c r="AN19" s="19">
        <v>6.6827237093703706</v>
      </c>
      <c r="AP19" s="19">
        <f t="shared" si="3"/>
        <v>47.104878703307449</v>
      </c>
      <c r="AQ19" s="39">
        <f t="shared" si="4"/>
        <v>0.65946830184630434</v>
      </c>
    </row>
    <row r="20" spans="1:43" s="38" customFormat="1">
      <c r="A20" s="38">
        <v>3</v>
      </c>
      <c r="B20" s="38" t="s">
        <v>43</v>
      </c>
      <c r="C20" s="38" t="s">
        <v>0</v>
      </c>
      <c r="D20" s="36">
        <v>37448</v>
      </c>
      <c r="E20" s="46">
        <v>0.33680555555555558</v>
      </c>
      <c r="F20" s="19">
        <v>2.6</v>
      </c>
      <c r="G20" s="19">
        <v>1.31</v>
      </c>
      <c r="H20" s="19">
        <f t="shared" ref="H20:H83" si="5">F20-G20</f>
        <v>1.29</v>
      </c>
      <c r="I20" s="19"/>
      <c r="J20" s="20">
        <v>0.5</v>
      </c>
      <c r="K20" s="20">
        <v>23.3</v>
      </c>
      <c r="L20" s="19">
        <v>4.8499999999999996</v>
      </c>
      <c r="M20" s="20">
        <v>69.3</v>
      </c>
      <c r="N20" s="20"/>
      <c r="O20" s="38" t="s">
        <v>49</v>
      </c>
      <c r="P20" s="40"/>
      <c r="Q20" s="38" t="s">
        <v>50</v>
      </c>
      <c r="R20" s="38" t="s">
        <v>49</v>
      </c>
      <c r="S20" s="20">
        <v>30.8</v>
      </c>
      <c r="T20" s="19">
        <v>0.56101599999999996</v>
      </c>
      <c r="U20" s="19">
        <v>0.86848199999999998</v>
      </c>
      <c r="V20" s="16">
        <f t="shared" si="0"/>
        <v>1.2158748E-2</v>
      </c>
      <c r="W20" s="19">
        <v>0.46373556566774571</v>
      </c>
      <c r="X20" s="16">
        <f t="shared" si="1"/>
        <v>6.4922979193484404E-3</v>
      </c>
      <c r="Y20" s="19">
        <v>1.3322175656677457</v>
      </c>
      <c r="Z20" s="19"/>
      <c r="AA20" s="19">
        <v>34.390092937920009</v>
      </c>
      <c r="AB20" s="19">
        <v>7.2047214285714274</v>
      </c>
      <c r="AC20" s="19">
        <v>1.497493571428572</v>
      </c>
      <c r="AD20" s="16">
        <v>8.7022149999999989</v>
      </c>
      <c r="AE20" s="19"/>
      <c r="AF20" s="19">
        <v>0.82791811378728619</v>
      </c>
      <c r="AG20" s="19">
        <v>150.09516821449327</v>
      </c>
      <c r="AH20" s="19">
        <v>27.310574850688507</v>
      </c>
      <c r="AI20" s="19">
        <v>61.700667788608513</v>
      </c>
      <c r="AJ20" s="39">
        <v>0.8638093490405192</v>
      </c>
      <c r="AK20" s="19"/>
      <c r="AL20" s="5">
        <f t="shared" si="2"/>
        <v>0.88246039495986761</v>
      </c>
      <c r="AM20" s="39"/>
      <c r="AN20" s="19">
        <v>5.4934571416890572</v>
      </c>
      <c r="AP20" s="19">
        <f t="shared" si="3"/>
        <v>63.03288535427626</v>
      </c>
      <c r="AQ20" s="39">
        <f t="shared" si="4"/>
        <v>0.88246039495986761</v>
      </c>
    </row>
    <row r="21" spans="1:43" s="38" customFormat="1" hidden="1">
      <c r="A21" s="38">
        <v>3</v>
      </c>
      <c r="B21" s="38" t="s">
        <v>44</v>
      </c>
      <c r="C21" s="38" t="s">
        <v>0</v>
      </c>
      <c r="D21" s="36">
        <v>37448</v>
      </c>
      <c r="E21" s="46">
        <v>0.33958333333333335</v>
      </c>
      <c r="F21" s="19"/>
      <c r="G21" s="19"/>
      <c r="H21" s="19">
        <f t="shared" si="5"/>
        <v>0</v>
      </c>
      <c r="I21" s="19"/>
      <c r="J21" s="20">
        <v>2.1</v>
      </c>
      <c r="K21" s="20">
        <v>23.3</v>
      </c>
      <c r="L21" s="19">
        <v>4.62</v>
      </c>
      <c r="M21" s="20">
        <v>65.2</v>
      </c>
      <c r="N21" s="20"/>
      <c r="P21" s="40"/>
      <c r="S21" s="20">
        <v>31.2</v>
      </c>
      <c r="T21" s="19">
        <v>0.56101599999999996</v>
      </c>
      <c r="U21" s="19">
        <v>1.4551310000000004</v>
      </c>
      <c r="V21" s="16">
        <f t="shared" si="0"/>
        <v>2.0371834000000005E-2</v>
      </c>
      <c r="W21" s="19">
        <v>0.11955448794475404</v>
      </c>
      <c r="X21" s="16">
        <f t="shared" si="1"/>
        <v>1.6737628312265566E-3</v>
      </c>
      <c r="Y21" s="19">
        <v>1.5746854879447545</v>
      </c>
      <c r="Z21" s="19"/>
      <c r="AA21" s="19">
        <v>24.722006772536972</v>
      </c>
      <c r="AB21" s="19">
        <v>8.9388428571428555</v>
      </c>
      <c r="AC21" s="19">
        <v>1.5335821428571439</v>
      </c>
      <c r="AD21" s="16">
        <v>10.472424999999999</v>
      </c>
      <c r="AE21" s="19"/>
      <c r="AF21" s="19">
        <v>0.85355997843315723</v>
      </c>
      <c r="AG21" s="19">
        <v>210.17965980764782</v>
      </c>
      <c r="AH21" s="19">
        <v>30.500173138424682</v>
      </c>
      <c r="AI21" s="19">
        <v>55.222179910961657</v>
      </c>
      <c r="AJ21" s="39">
        <v>0.77311051875346326</v>
      </c>
      <c r="AK21" s="19"/>
      <c r="AL21" s="5">
        <f t="shared" si="2"/>
        <v>0.79515611558468968</v>
      </c>
      <c r="AM21" s="39"/>
      <c r="AN21" s="19">
        <v>6.8880810765972642</v>
      </c>
      <c r="AP21" s="19">
        <f t="shared" si="3"/>
        <v>56.796865398906412</v>
      </c>
      <c r="AQ21" s="39">
        <f t="shared" si="4"/>
        <v>0.79515611558468979</v>
      </c>
    </row>
    <row r="22" spans="1:43" s="38" customFormat="1">
      <c r="A22" s="38">
        <v>3</v>
      </c>
      <c r="B22" s="38" t="s">
        <v>43</v>
      </c>
      <c r="C22" s="38" t="s">
        <v>0</v>
      </c>
      <c r="D22" s="36">
        <v>37462</v>
      </c>
      <c r="E22" s="46">
        <v>0.32291666666666669</v>
      </c>
      <c r="F22" s="19">
        <v>2.4500000000000002</v>
      </c>
      <c r="G22" s="19">
        <v>1.5</v>
      </c>
      <c r="H22" s="19">
        <f t="shared" si="5"/>
        <v>0.95000000000000018</v>
      </c>
      <c r="I22" s="19"/>
      <c r="J22" s="20">
        <v>0.5</v>
      </c>
      <c r="K22" s="20">
        <v>22.8</v>
      </c>
      <c r="L22" s="19">
        <v>5.6</v>
      </c>
      <c r="M22" s="20">
        <v>78.8</v>
      </c>
      <c r="N22" s="20"/>
      <c r="O22" s="38" t="s">
        <v>49</v>
      </c>
      <c r="P22" s="40"/>
      <c r="Q22" s="38" t="s">
        <v>50</v>
      </c>
      <c r="R22" s="38" t="s">
        <v>49</v>
      </c>
      <c r="S22" s="20">
        <v>30.8</v>
      </c>
      <c r="T22" s="19">
        <v>0.23262899999999997</v>
      </c>
      <c r="U22" s="19">
        <v>0.72656450000000006</v>
      </c>
      <c r="V22" s="16">
        <f t="shared" si="0"/>
        <v>1.0171903000000001E-2</v>
      </c>
      <c r="W22" s="19">
        <v>0.24235813031702777</v>
      </c>
      <c r="X22" s="16">
        <f t="shared" si="1"/>
        <v>3.3930138244383889E-3</v>
      </c>
      <c r="Y22" s="19">
        <v>0.96892263031702786</v>
      </c>
      <c r="Z22" s="19"/>
      <c r="AA22" s="19">
        <v>46.844270235524192</v>
      </c>
      <c r="AB22" s="19">
        <v>11.860414285714285</v>
      </c>
      <c r="AC22" s="19">
        <v>0.72536571428571839</v>
      </c>
      <c r="AD22" s="16">
        <v>12.585780000000003</v>
      </c>
      <c r="AE22" s="19"/>
      <c r="AF22" s="19">
        <v>0.94236624871198138</v>
      </c>
      <c r="AG22" s="19">
        <v>97.809511713330224</v>
      </c>
      <c r="AH22" s="19">
        <v>15.199549577483806</v>
      </c>
      <c r="AI22" s="19">
        <v>62.043819813008</v>
      </c>
      <c r="AJ22" s="39">
        <v>0.86861347738211203</v>
      </c>
      <c r="AK22" s="19"/>
      <c r="AL22" s="5">
        <f t="shared" si="2"/>
        <v>0.88217839420655031</v>
      </c>
      <c r="AM22" s="39"/>
      <c r="AN22" s="19">
        <v>6.4322104136508198</v>
      </c>
      <c r="AP22" s="19">
        <f t="shared" si="3"/>
        <v>63.012742443325024</v>
      </c>
      <c r="AQ22" s="39">
        <f t="shared" si="4"/>
        <v>0.88217839420655031</v>
      </c>
    </row>
    <row r="23" spans="1:43" s="38" customFormat="1" hidden="1">
      <c r="A23" s="38">
        <v>3</v>
      </c>
      <c r="B23" s="38" t="s">
        <v>44</v>
      </c>
      <c r="C23" s="38" t="s">
        <v>0</v>
      </c>
      <c r="D23" s="36">
        <v>37462</v>
      </c>
      <c r="E23" s="46">
        <v>0.32361111111111113</v>
      </c>
      <c r="F23" s="19"/>
      <c r="G23" s="19"/>
      <c r="H23" s="19">
        <f t="shared" si="5"/>
        <v>0</v>
      </c>
      <c r="I23" s="19"/>
      <c r="J23" s="20">
        <v>1.5</v>
      </c>
      <c r="K23" s="20">
        <v>22.8</v>
      </c>
      <c r="L23" s="19">
        <v>5.42</v>
      </c>
      <c r="M23" s="20">
        <v>76</v>
      </c>
      <c r="N23" s="20"/>
      <c r="P23" s="40"/>
      <c r="S23" s="21">
        <v>30.8</v>
      </c>
      <c r="T23" s="19">
        <v>0.64121399999999995</v>
      </c>
      <c r="U23" s="19">
        <v>1.5455310000000002</v>
      </c>
      <c r="V23" s="16">
        <f t="shared" si="0"/>
        <v>2.1637434000000004E-2</v>
      </c>
      <c r="W23" s="22">
        <v>0.14548942584102501</v>
      </c>
      <c r="X23" s="16">
        <f t="shared" si="1"/>
        <v>2.0368519617743499E-3</v>
      </c>
      <c r="Y23" s="19">
        <v>1.6910204258410253</v>
      </c>
      <c r="Z23" s="19"/>
      <c r="AA23" s="19">
        <v>39.996146698158974</v>
      </c>
      <c r="AB23" s="19">
        <v>10.69725</v>
      </c>
      <c r="AC23" s="19">
        <v>1.3243000000000009</v>
      </c>
      <c r="AD23" s="16">
        <v>12.021550000000001</v>
      </c>
      <c r="AE23" s="19"/>
      <c r="AF23" s="19">
        <v>0.88983949657074168</v>
      </c>
      <c r="AG23" s="19">
        <v>108.49046648574915</v>
      </c>
      <c r="AH23" s="19">
        <v>16.600303152568149</v>
      </c>
      <c r="AI23" s="19">
        <v>56.596449850727126</v>
      </c>
      <c r="AJ23" s="39">
        <v>0.79235029791017975</v>
      </c>
      <c r="AK23" s="19"/>
      <c r="AL23" s="5">
        <f t="shared" si="2"/>
        <v>0.81602458387195398</v>
      </c>
      <c r="AM23" s="39"/>
      <c r="AN23" s="19">
        <v>6.5325903907193972</v>
      </c>
      <c r="AP23" s="19">
        <f t="shared" si="3"/>
        <v>58.28747027656815</v>
      </c>
      <c r="AQ23" s="39">
        <f t="shared" si="4"/>
        <v>0.81602458387195409</v>
      </c>
    </row>
    <row r="24" spans="1:43" s="38" customFormat="1">
      <c r="A24" s="38">
        <v>3</v>
      </c>
      <c r="B24" s="38" t="s">
        <v>43</v>
      </c>
      <c r="C24" s="38" t="s">
        <v>0</v>
      </c>
      <c r="D24" s="36">
        <v>37481</v>
      </c>
      <c r="E24" s="46">
        <v>0.31944444444444448</v>
      </c>
      <c r="F24" s="19">
        <v>3</v>
      </c>
      <c r="G24" s="19">
        <v>1.25</v>
      </c>
      <c r="H24" s="19">
        <f t="shared" si="5"/>
        <v>1.75</v>
      </c>
      <c r="I24" s="19"/>
      <c r="J24" s="20">
        <v>0.5</v>
      </c>
      <c r="K24" s="20">
        <v>24.5</v>
      </c>
      <c r="L24" s="19">
        <v>5.9</v>
      </c>
      <c r="M24" s="20">
        <v>89.2</v>
      </c>
      <c r="N24" s="20"/>
      <c r="O24" s="38" t="s">
        <v>49</v>
      </c>
      <c r="P24" s="40"/>
      <c r="R24" s="38" t="s">
        <v>49</v>
      </c>
      <c r="S24" s="20">
        <v>29.9</v>
      </c>
      <c r="T24" s="19">
        <v>0.116933</v>
      </c>
      <c r="U24" s="19">
        <v>2.5683284999999998</v>
      </c>
      <c r="V24" s="16">
        <f t="shared" si="0"/>
        <v>3.5956598999999999E-2</v>
      </c>
      <c r="W24" s="19">
        <v>0.20470495464115099</v>
      </c>
      <c r="X24" s="16">
        <f t="shared" si="1"/>
        <v>2.8658693649761141E-3</v>
      </c>
      <c r="Y24" s="19">
        <v>2.7730334546411508</v>
      </c>
      <c r="Z24" s="19"/>
      <c r="AA24" s="19">
        <v>32.123396819543864</v>
      </c>
      <c r="AB24" s="19">
        <v>8.5114142857142845</v>
      </c>
      <c r="AC24" s="19">
        <v>2.1752957142857134</v>
      </c>
      <c r="AD24" s="16">
        <v>10.686709999999998</v>
      </c>
      <c r="AE24" s="19"/>
      <c r="AF24" s="19">
        <v>0.79644851275222084</v>
      </c>
      <c r="AG24" s="19">
        <v>91.787808077856212</v>
      </c>
      <c r="AH24" s="19">
        <v>13.716398733276858</v>
      </c>
      <c r="AI24" s="19">
        <v>45.839795552820718</v>
      </c>
      <c r="AJ24" s="39">
        <v>0.64175713773949006</v>
      </c>
      <c r="AK24" s="19"/>
      <c r="AL24" s="5">
        <f t="shared" si="2"/>
        <v>0.68057960610446622</v>
      </c>
      <c r="AM24" s="39"/>
      <c r="AN24" s="19">
        <v>6.6889009926998222</v>
      </c>
      <c r="AP24" s="19">
        <f t="shared" si="3"/>
        <v>48.612829007461869</v>
      </c>
      <c r="AQ24" s="39">
        <f t="shared" si="4"/>
        <v>0.68057960610446622</v>
      </c>
    </row>
    <row r="25" spans="1:43" s="38" customFormat="1" hidden="1">
      <c r="A25" s="38">
        <v>3</v>
      </c>
      <c r="B25" s="38" t="s">
        <v>44</v>
      </c>
      <c r="C25" s="38" t="s">
        <v>0</v>
      </c>
      <c r="D25" s="36">
        <v>37481</v>
      </c>
      <c r="E25" s="46">
        <v>0.3263888888888889</v>
      </c>
      <c r="F25" s="19"/>
      <c r="G25" s="19"/>
      <c r="H25" s="19">
        <f t="shared" si="5"/>
        <v>0</v>
      </c>
      <c r="I25" s="19"/>
      <c r="J25" s="20">
        <v>2.5</v>
      </c>
      <c r="K25" s="20">
        <v>24.6</v>
      </c>
      <c r="L25" s="19">
        <v>3.8</v>
      </c>
      <c r="M25" s="20">
        <v>57.4</v>
      </c>
      <c r="N25" s="20"/>
      <c r="P25" s="40"/>
      <c r="S25" s="20">
        <v>31.4</v>
      </c>
      <c r="T25" s="19">
        <v>0.52371800000000002</v>
      </c>
      <c r="U25" s="19">
        <v>5.5938870000000005</v>
      </c>
      <c r="V25" s="16">
        <f t="shared" si="0"/>
        <v>7.8314418000000011E-2</v>
      </c>
      <c r="W25" s="19">
        <v>0.1003957871700787</v>
      </c>
      <c r="X25" s="16">
        <f t="shared" si="1"/>
        <v>1.4055410203811019E-3</v>
      </c>
      <c r="Y25" s="19">
        <v>5.6942827871700796</v>
      </c>
      <c r="Z25" s="19"/>
      <c r="AA25" s="19">
        <v>27.856152246366449</v>
      </c>
      <c r="AB25" s="19">
        <v>4.170585714285715</v>
      </c>
      <c r="AC25" s="19">
        <v>4.7260242857142858</v>
      </c>
      <c r="AD25" s="16">
        <v>8.8966100000000008</v>
      </c>
      <c r="AE25" s="19"/>
      <c r="AF25" s="19">
        <v>0.46878369561953537</v>
      </c>
      <c r="AG25" s="19">
        <v>105.91694509963877</v>
      </c>
      <c r="AH25" s="19">
        <v>16.1471181723938</v>
      </c>
      <c r="AI25" s="19">
        <v>44.003270418760252</v>
      </c>
      <c r="AJ25" s="39">
        <v>0.61604578586264358</v>
      </c>
      <c r="AK25" s="19"/>
      <c r="AL25" s="5">
        <f t="shared" si="2"/>
        <v>0.69576574488302467</v>
      </c>
      <c r="AM25" s="39"/>
      <c r="AN25" s="19">
        <v>6.5566242072412679</v>
      </c>
      <c r="AP25" s="19">
        <f t="shared" si="3"/>
        <v>49.697553205930333</v>
      </c>
      <c r="AQ25" s="39">
        <f t="shared" si="4"/>
        <v>0.69576574488302467</v>
      </c>
    </row>
    <row r="26" spans="1:43" s="38" customFormat="1">
      <c r="A26" s="38">
        <v>3</v>
      </c>
      <c r="B26" s="38" t="s">
        <v>43</v>
      </c>
      <c r="C26" s="38" t="s">
        <v>0</v>
      </c>
      <c r="D26" s="36">
        <v>37525</v>
      </c>
      <c r="E26" s="46">
        <v>0.3263888888888889</v>
      </c>
      <c r="F26" s="19">
        <v>2.6</v>
      </c>
      <c r="G26" s="19">
        <v>1.95</v>
      </c>
      <c r="H26" s="19">
        <f t="shared" si="5"/>
        <v>0.65000000000000013</v>
      </c>
      <c r="I26" s="19"/>
      <c r="J26" s="20">
        <v>0.5</v>
      </c>
      <c r="K26" s="20">
        <v>20.3</v>
      </c>
      <c r="L26" s="19">
        <v>5.47</v>
      </c>
      <c r="M26" s="20">
        <v>73.3</v>
      </c>
      <c r="N26" s="20"/>
      <c r="O26" s="38" t="s">
        <v>51</v>
      </c>
      <c r="P26" s="40">
        <v>0</v>
      </c>
      <c r="Q26" s="38" t="s">
        <v>52</v>
      </c>
      <c r="R26" s="38" t="s">
        <v>49</v>
      </c>
      <c r="S26" s="20">
        <v>30.2</v>
      </c>
      <c r="T26" s="19">
        <v>1.152318</v>
      </c>
      <c r="U26" s="19">
        <v>8.0411030000000014</v>
      </c>
      <c r="V26" s="16">
        <f t="shared" si="0"/>
        <v>0.11257544200000003</v>
      </c>
      <c r="W26" s="19">
        <v>1.6063819489657276</v>
      </c>
      <c r="X26" s="16">
        <f t="shared" si="1"/>
        <v>2.2489347285520187E-2</v>
      </c>
      <c r="Y26" s="19">
        <v>9.6474849489657295</v>
      </c>
      <c r="Z26" s="19"/>
      <c r="AA26" s="19">
        <v>23.138203642252908</v>
      </c>
      <c r="AB26" s="19">
        <v>3.8845000000000014</v>
      </c>
      <c r="AC26" s="19">
        <v>1.1142366666666657</v>
      </c>
      <c r="AD26" s="16">
        <v>4.9987366666666668</v>
      </c>
      <c r="AE26" s="19"/>
      <c r="AF26" s="19">
        <v>0.77709634634350977</v>
      </c>
      <c r="AG26" s="19">
        <v>39.101555789631654</v>
      </c>
      <c r="AH26" s="19">
        <v>5.0139834140429738</v>
      </c>
      <c r="AI26" s="19">
        <v>28.15218705629588</v>
      </c>
      <c r="AJ26" s="39">
        <v>0.39413061878814232</v>
      </c>
      <c r="AK26" s="19"/>
      <c r="AL26" s="5">
        <f t="shared" si="2"/>
        <v>0.52919540807366261</v>
      </c>
      <c r="AM26" s="39"/>
      <c r="AN26" s="19">
        <v>7.7950878662819711</v>
      </c>
      <c r="AP26" s="19">
        <f t="shared" si="3"/>
        <v>37.799672005261613</v>
      </c>
      <c r="AQ26" s="39">
        <f t="shared" si="4"/>
        <v>0.52919540807366261</v>
      </c>
    </row>
    <row r="27" spans="1:43" s="38" customFormat="1" hidden="1">
      <c r="A27" s="38">
        <v>3</v>
      </c>
      <c r="B27" s="38" t="s">
        <v>44</v>
      </c>
      <c r="C27" s="38" t="s">
        <v>0</v>
      </c>
      <c r="D27" s="36">
        <v>37525</v>
      </c>
      <c r="E27" s="46">
        <v>0.32708333333333334</v>
      </c>
      <c r="F27" s="19"/>
      <c r="G27" s="19"/>
      <c r="H27" s="19">
        <f t="shared" si="5"/>
        <v>0</v>
      </c>
      <c r="I27" s="16">
        <f>SUM(G18:G27)/5</f>
        <v>1.472</v>
      </c>
      <c r="J27" s="20">
        <v>2.1</v>
      </c>
      <c r="K27" s="20">
        <v>20.5</v>
      </c>
      <c r="L27" s="19">
        <v>5.12</v>
      </c>
      <c r="M27" s="20">
        <v>68.900000000000006</v>
      </c>
      <c r="N27" s="17">
        <f>SUM(L18:L27)/10</f>
        <v>5.1939999999999991</v>
      </c>
      <c r="P27" s="40"/>
      <c r="S27" s="20">
        <v>30.1</v>
      </c>
      <c r="T27" s="19">
        <v>1.1267849999999999</v>
      </c>
      <c r="U27" s="19">
        <v>8.2302509999999991</v>
      </c>
      <c r="V27" s="16">
        <f t="shared" si="0"/>
        <v>0.11522351399999999</v>
      </c>
      <c r="W27" s="19">
        <v>1.5663690234761936</v>
      </c>
      <c r="X27" s="16">
        <f t="shared" si="1"/>
        <v>2.1929166328666712E-2</v>
      </c>
      <c r="Y27" s="19">
        <v>9.7966200234761924</v>
      </c>
      <c r="Z27" s="16">
        <f>SUM(Y18:Y27)/10</f>
        <v>6.1518679186504626</v>
      </c>
      <c r="AA27" s="19">
        <v>31.111171416093519</v>
      </c>
      <c r="AB27" s="19">
        <v>4.6767000000000003</v>
      </c>
      <c r="AC27" s="19">
        <v>0.80452500000000016</v>
      </c>
      <c r="AD27" s="16">
        <v>5.4812250000000002</v>
      </c>
      <c r="AE27" s="16">
        <f>SUM(AD18:AD27)/10</f>
        <v>10.009571666666666</v>
      </c>
      <c r="AF27" s="19">
        <v>0.85322167946033967</v>
      </c>
      <c r="AG27" s="19">
        <v>39.635593426343313</v>
      </c>
      <c r="AH27" s="19">
        <v>5.1251101394262344</v>
      </c>
      <c r="AI27" s="19">
        <v>36.236281555519753</v>
      </c>
      <c r="AJ27" s="39">
        <v>0.50730794177727656</v>
      </c>
      <c r="AK27" s="16">
        <f>SUM(AJ18:AJ27)/10</f>
        <v>0.62562309045235198</v>
      </c>
      <c r="AL27" s="5">
        <f t="shared" si="2"/>
        <v>0.64446062210594324</v>
      </c>
      <c r="AM27" s="5">
        <f>SUM(AL18:AL27)/10</f>
        <v>0.71174924131345851</v>
      </c>
      <c r="AN27" s="19">
        <v>7.7302231730405602</v>
      </c>
      <c r="AP27" s="19">
        <f t="shared" si="3"/>
        <v>46.032901578995947</v>
      </c>
      <c r="AQ27" s="39">
        <f t="shared" si="4"/>
        <v>0.64446062210594324</v>
      </c>
    </row>
    <row r="28" spans="1:43" s="38" customFormat="1">
      <c r="A28" s="38">
        <v>3</v>
      </c>
      <c r="B28" s="38" t="s">
        <v>43</v>
      </c>
      <c r="C28" s="38" t="s">
        <v>0</v>
      </c>
      <c r="D28" s="36">
        <v>37789</v>
      </c>
      <c r="E28" s="46">
        <v>0.31597222222222221</v>
      </c>
      <c r="F28" s="19">
        <v>2.95</v>
      </c>
      <c r="G28" s="19">
        <v>1.05</v>
      </c>
      <c r="H28" s="19">
        <f t="shared" si="5"/>
        <v>1.9000000000000001</v>
      </c>
      <c r="I28" s="19"/>
      <c r="J28" s="20">
        <v>0.5</v>
      </c>
      <c r="K28" s="20">
        <v>18.600000000000001</v>
      </c>
      <c r="L28" s="19">
        <v>8.25</v>
      </c>
      <c r="M28" s="20">
        <v>106</v>
      </c>
      <c r="N28" s="20"/>
      <c r="O28" s="38" t="s">
        <v>51</v>
      </c>
      <c r="P28" s="40">
        <v>1</v>
      </c>
      <c r="Q28" s="38" t="s">
        <v>43</v>
      </c>
      <c r="R28" s="38" t="s">
        <v>49</v>
      </c>
      <c r="S28" s="20">
        <v>30</v>
      </c>
      <c r="T28" s="19">
        <v>9.538461538461529E-2</v>
      </c>
      <c r="U28" s="19">
        <v>2.4613271649559056</v>
      </c>
      <c r="V28" s="16">
        <f t="shared" si="0"/>
        <v>3.4458580309382682E-2</v>
      </c>
      <c r="W28" s="19">
        <v>0.05</v>
      </c>
      <c r="X28" s="16">
        <f t="shared" si="1"/>
        <v>7.000000000000001E-4</v>
      </c>
      <c r="Y28" s="19">
        <v>2.4863271649559056</v>
      </c>
      <c r="Z28" s="19"/>
      <c r="AA28" s="19">
        <v>40.318713618078355</v>
      </c>
      <c r="AB28" s="19">
        <v>16.831457142857143</v>
      </c>
      <c r="AC28" s="19">
        <v>0.05</v>
      </c>
      <c r="AD28" s="19">
        <v>16.881457142857144</v>
      </c>
      <c r="AE28" s="19"/>
      <c r="AF28" s="19">
        <v>1</v>
      </c>
      <c r="AG28" s="19">
        <v>153.75002709691955</v>
      </c>
      <c r="AH28" s="19">
        <v>23.058277344299345</v>
      </c>
      <c r="AI28" s="22">
        <v>42.805040783034258</v>
      </c>
      <c r="AJ28" s="39">
        <v>0.5992705709624796</v>
      </c>
      <c r="AK28" s="19"/>
      <c r="AL28" s="5">
        <f t="shared" si="2"/>
        <v>0.9220864537826704</v>
      </c>
      <c r="AM28" s="39"/>
      <c r="AN28" s="19">
        <v>6.6678887065659689</v>
      </c>
      <c r="AP28" s="19">
        <f t="shared" si="3"/>
        <v>45.29136794799016</v>
      </c>
      <c r="AQ28" s="39">
        <f t="shared" si="4"/>
        <v>0.63407915127186221</v>
      </c>
    </row>
    <row r="29" spans="1:43" s="38" customFormat="1" hidden="1">
      <c r="A29" s="38">
        <v>3</v>
      </c>
      <c r="B29" s="38" t="s">
        <v>44</v>
      </c>
      <c r="C29" s="38" t="s">
        <v>0</v>
      </c>
      <c r="D29" s="36">
        <v>37789</v>
      </c>
      <c r="E29" s="46">
        <v>0.31597222222222221</v>
      </c>
      <c r="F29" s="19"/>
      <c r="G29" s="19"/>
      <c r="H29" s="19">
        <f t="shared" si="5"/>
        <v>0</v>
      </c>
      <c r="I29" s="19"/>
      <c r="J29" s="20">
        <v>1.5</v>
      </c>
      <c r="K29" s="20">
        <v>18.600000000000001</v>
      </c>
      <c r="L29" s="19">
        <v>7</v>
      </c>
      <c r="M29" s="20">
        <v>91</v>
      </c>
      <c r="N29" s="20"/>
      <c r="P29" s="40"/>
      <c r="S29" s="20"/>
      <c r="T29" s="19">
        <v>0.45615384615384619</v>
      </c>
      <c r="U29" s="19">
        <v>4.1784010409136938</v>
      </c>
      <c r="V29" s="16">
        <f t="shared" si="0"/>
        <v>5.8497614572791713E-2</v>
      </c>
      <c r="W29" s="19">
        <v>0.05</v>
      </c>
      <c r="X29" s="16">
        <f t="shared" si="1"/>
        <v>7.000000000000001E-4</v>
      </c>
      <c r="Y29" s="19">
        <v>4.2034010409136942</v>
      </c>
      <c r="Z29" s="19"/>
      <c r="AA29" s="19">
        <v>19.178719676867711</v>
      </c>
      <c r="AB29" s="19">
        <v>10.021257142857142</v>
      </c>
      <c r="AC29" s="19">
        <v>1.1666128571428587</v>
      </c>
      <c r="AD29" s="19">
        <v>11.18787</v>
      </c>
      <c r="AE29" s="19"/>
      <c r="AF29" s="19">
        <v>0.89572520442739689</v>
      </c>
      <c r="AG29" s="19">
        <v>104.07515656569032</v>
      </c>
      <c r="AH29" s="19">
        <v>17.193387524464171</v>
      </c>
      <c r="AI29" s="22">
        <v>23.382120717781405</v>
      </c>
      <c r="AJ29" s="39">
        <v>0.32734969004893966</v>
      </c>
      <c r="AK29" s="19"/>
      <c r="AL29" s="5">
        <f t="shared" si="2"/>
        <v>0.56805711539143811</v>
      </c>
      <c r="AM29" s="39"/>
      <c r="AN29" s="19">
        <v>6.0532083289348071</v>
      </c>
      <c r="AP29" s="19">
        <f t="shared" si="3"/>
        <v>27.585521758695098</v>
      </c>
      <c r="AQ29" s="39">
        <f t="shared" si="4"/>
        <v>0.38619730462173135</v>
      </c>
    </row>
    <row r="30" spans="1:43" s="38" customFormat="1">
      <c r="A30" s="38">
        <v>3</v>
      </c>
      <c r="B30" s="38" t="s">
        <v>43</v>
      </c>
      <c r="C30" s="38" t="s">
        <v>0</v>
      </c>
      <c r="D30" s="36">
        <v>37805</v>
      </c>
      <c r="E30" s="46">
        <v>0.3298611111111111</v>
      </c>
      <c r="F30" s="19">
        <v>2.4</v>
      </c>
      <c r="G30" s="19">
        <v>1.9</v>
      </c>
      <c r="H30" s="19">
        <f t="shared" si="5"/>
        <v>0.5</v>
      </c>
      <c r="I30" s="19"/>
      <c r="J30" s="20">
        <v>0.5</v>
      </c>
      <c r="K30" s="20">
        <v>23.1</v>
      </c>
      <c r="L30" s="19">
        <v>6.59</v>
      </c>
      <c r="M30" s="20">
        <v>91.5</v>
      </c>
      <c r="N30" s="20"/>
      <c r="O30" s="38" t="s">
        <v>49</v>
      </c>
      <c r="P30" s="40">
        <v>2</v>
      </c>
      <c r="Q30" s="38" t="s">
        <v>53</v>
      </c>
      <c r="R30" s="38" t="s">
        <v>49</v>
      </c>
      <c r="S30" s="20">
        <v>30</v>
      </c>
      <c r="T30" s="22">
        <v>0.60785692423502968</v>
      </c>
      <c r="U30" s="19">
        <v>5.9201572080422054</v>
      </c>
      <c r="V30" s="16">
        <f t="shared" si="0"/>
        <v>8.2882200912590881E-2</v>
      </c>
      <c r="W30" s="19">
        <v>0.62776659959758563</v>
      </c>
      <c r="X30" s="16">
        <f t="shared" si="1"/>
        <v>8.7887323943661982E-3</v>
      </c>
      <c r="Y30" s="19">
        <v>6.5479238076397905</v>
      </c>
      <c r="Z30" s="19"/>
      <c r="AA30" s="19">
        <v>39.009971787792516</v>
      </c>
      <c r="AB30" s="19">
        <v>5.9825428571428585</v>
      </c>
      <c r="AC30" s="19">
        <v>2.8752221428571443</v>
      </c>
      <c r="AD30" s="19">
        <v>8.8577650000000023</v>
      </c>
      <c r="AE30" s="19"/>
      <c r="AF30" s="19">
        <v>0.67540094562712572</v>
      </c>
      <c r="AG30" s="19">
        <v>124.9808049032607</v>
      </c>
      <c r="AH30" s="19">
        <v>17.329035324351739</v>
      </c>
      <c r="AI30" s="22">
        <v>45.557895595432306</v>
      </c>
      <c r="AJ30" s="39">
        <v>0.63781053833605228</v>
      </c>
      <c r="AK30" s="19"/>
      <c r="AL30" s="5">
        <f t="shared" si="2"/>
        <v>0.8804170328769767</v>
      </c>
      <c r="AM30" s="39"/>
      <c r="AN30" s="19">
        <v>7.2122194088686875</v>
      </c>
      <c r="AP30" s="19">
        <f t="shared" si="3"/>
        <v>52.105819403072097</v>
      </c>
      <c r="AQ30" s="39">
        <f t="shared" si="4"/>
        <v>0.72948147164300936</v>
      </c>
    </row>
    <row r="31" spans="1:43" s="38" customFormat="1" hidden="1">
      <c r="A31" s="38">
        <v>3</v>
      </c>
      <c r="B31" s="38" t="s">
        <v>44</v>
      </c>
      <c r="C31" s="38" t="s">
        <v>0</v>
      </c>
      <c r="D31" s="36">
        <v>37805</v>
      </c>
      <c r="E31" s="46">
        <v>0.33194444444444443</v>
      </c>
      <c r="F31" s="19"/>
      <c r="G31" s="19"/>
      <c r="H31" s="19">
        <f t="shared" si="5"/>
        <v>0</v>
      </c>
      <c r="I31" s="19"/>
      <c r="J31" s="20">
        <v>1.9</v>
      </c>
      <c r="K31" s="20">
        <v>23</v>
      </c>
      <c r="L31" s="19">
        <v>5.6</v>
      </c>
      <c r="M31" s="20">
        <v>77.7</v>
      </c>
      <c r="N31" s="20"/>
      <c r="P31" s="40"/>
      <c r="S31" s="20"/>
      <c r="T31" s="19">
        <v>0.79059645233427378</v>
      </c>
      <c r="U31" s="19">
        <v>5.5534874290348739</v>
      </c>
      <c r="V31" s="16">
        <f t="shared" si="0"/>
        <v>7.7748824006488235E-2</v>
      </c>
      <c r="W31" s="19">
        <v>0.39134808853118719</v>
      </c>
      <c r="X31" s="16">
        <f t="shared" si="1"/>
        <v>5.4788732394366211E-3</v>
      </c>
      <c r="Y31" s="19">
        <v>5.9448355175660614</v>
      </c>
      <c r="Z31" s="19"/>
      <c r="AA31" s="19">
        <v>20.710123699399674</v>
      </c>
      <c r="AB31" s="19">
        <v>6.5578714285714268</v>
      </c>
      <c r="AC31" s="19">
        <v>1.8862835714285744</v>
      </c>
      <c r="AD31" s="19">
        <v>8.4441550000000021</v>
      </c>
      <c r="AE31" s="19"/>
      <c r="AF31" s="19">
        <v>0.77661665715177242</v>
      </c>
      <c r="AG31" s="19">
        <v>86.933369833087454</v>
      </c>
      <c r="AH31" s="19">
        <v>19.340552762866977</v>
      </c>
      <c r="AI31" s="22">
        <v>26.654959216965736</v>
      </c>
      <c r="AJ31" s="39">
        <v>0.37316942903752032</v>
      </c>
      <c r="AK31" s="19"/>
      <c r="AL31" s="5">
        <f t="shared" si="2"/>
        <v>0.64393716771765797</v>
      </c>
      <c r="AM31" s="39"/>
      <c r="AN31" s="19">
        <v>4.4948751413142523</v>
      </c>
      <c r="AP31" s="19">
        <f t="shared" si="3"/>
        <v>32.599794734531798</v>
      </c>
      <c r="AQ31" s="39">
        <f t="shared" si="4"/>
        <v>0.4563971262834452</v>
      </c>
    </row>
    <row r="32" spans="1:43" s="38" customFormat="1">
      <c r="A32" s="38">
        <v>3</v>
      </c>
      <c r="B32" s="38" t="s">
        <v>43</v>
      </c>
      <c r="C32" s="38" t="s">
        <v>0</v>
      </c>
      <c r="D32" s="36">
        <v>37819</v>
      </c>
      <c r="E32" s="46">
        <v>0.32291666666666669</v>
      </c>
      <c r="F32" s="19">
        <v>2.9</v>
      </c>
      <c r="G32" s="19">
        <v>1.3</v>
      </c>
      <c r="H32" s="19">
        <f t="shared" si="5"/>
        <v>1.5999999999999999</v>
      </c>
      <c r="I32" s="19"/>
      <c r="J32" s="20">
        <v>0.5</v>
      </c>
      <c r="K32" s="20">
        <v>23.1</v>
      </c>
      <c r="L32" s="19">
        <v>6.55</v>
      </c>
      <c r="M32" s="20">
        <v>90.5</v>
      </c>
      <c r="N32" s="20"/>
      <c r="O32" s="38" t="s">
        <v>49</v>
      </c>
      <c r="P32" s="40">
        <v>1</v>
      </c>
      <c r="Q32" s="38" t="s">
        <v>54</v>
      </c>
      <c r="R32" s="38" t="s">
        <v>49</v>
      </c>
      <c r="S32" s="20">
        <v>30</v>
      </c>
      <c r="T32" s="19">
        <v>0.32868300380793403</v>
      </c>
      <c r="U32" s="19">
        <v>4.7522101810922575</v>
      </c>
      <c r="V32" s="16">
        <f t="shared" si="0"/>
        <v>6.6530942535291612E-2</v>
      </c>
      <c r="W32" s="19">
        <v>0.14084507042253525</v>
      </c>
      <c r="X32" s="16">
        <f t="shared" si="1"/>
        <v>1.9718309859154933E-3</v>
      </c>
      <c r="Y32" s="19">
        <v>4.8930552515147925</v>
      </c>
      <c r="Z32" s="19"/>
      <c r="AA32" s="19">
        <v>59.323078516837569</v>
      </c>
      <c r="AB32" s="19">
        <v>11.801399999999999</v>
      </c>
      <c r="AC32" s="19">
        <v>0.74392000000000214</v>
      </c>
      <c r="AD32" s="19">
        <v>12.545320000000002</v>
      </c>
      <c r="AE32" s="19"/>
      <c r="AF32" s="19">
        <v>0.94070139302943223</v>
      </c>
      <c r="AG32" s="19">
        <v>103.16513877317229</v>
      </c>
      <c r="AH32" s="19">
        <v>16.430953178365197</v>
      </c>
      <c r="AI32" s="22">
        <v>64.216133768352364</v>
      </c>
      <c r="AJ32" s="39">
        <v>0.89902587275693313</v>
      </c>
      <c r="AK32" s="19"/>
      <c r="AL32" s="5">
        <f t="shared" si="2"/>
        <v>1.1290592172540459</v>
      </c>
      <c r="AM32" s="39"/>
      <c r="AN32" s="19">
        <v>6.2787068804389801</v>
      </c>
      <c r="AP32" s="19">
        <f t="shared" si="3"/>
        <v>69.109189019867159</v>
      </c>
      <c r="AQ32" s="39">
        <f t="shared" si="4"/>
        <v>0.96752864627814028</v>
      </c>
    </row>
    <row r="33" spans="1:43" s="38" customFormat="1" hidden="1">
      <c r="A33" s="38">
        <v>3</v>
      </c>
      <c r="B33" s="38" t="s">
        <v>44</v>
      </c>
      <c r="C33" s="38" t="s">
        <v>0</v>
      </c>
      <c r="D33" s="36">
        <v>37819</v>
      </c>
      <c r="E33" s="46">
        <v>0.3298611111111111</v>
      </c>
      <c r="F33" s="19"/>
      <c r="G33" s="19"/>
      <c r="H33" s="19">
        <f t="shared" si="5"/>
        <v>0</v>
      </c>
      <c r="I33" s="19"/>
      <c r="J33" s="20">
        <v>2.4</v>
      </c>
      <c r="K33" s="20">
        <v>23.2</v>
      </c>
      <c r="L33" s="19">
        <v>4.97</v>
      </c>
      <c r="M33" s="20">
        <v>70</v>
      </c>
      <c r="N33" s="20"/>
      <c r="O33" s="38" t="s">
        <v>49</v>
      </c>
      <c r="P33" s="40">
        <v>1</v>
      </c>
      <c r="Q33" s="38" t="s">
        <v>54</v>
      </c>
      <c r="R33" s="38" t="s">
        <v>49</v>
      </c>
      <c r="S33" s="20"/>
      <c r="T33" s="22">
        <v>0.51468141431005521</v>
      </c>
      <c r="U33" s="19">
        <v>3.6266672746756652</v>
      </c>
      <c r="V33" s="16">
        <f t="shared" si="0"/>
        <v>5.0773341845459313E-2</v>
      </c>
      <c r="W33" s="19">
        <v>9.8490945674044275E-2</v>
      </c>
      <c r="X33" s="16">
        <f t="shared" si="1"/>
        <v>1.3788732394366199E-3</v>
      </c>
      <c r="Y33" s="19">
        <v>3.7251582203497096</v>
      </c>
      <c r="Z33" s="19"/>
      <c r="AA33" s="19">
        <v>34.185918451754695</v>
      </c>
      <c r="AB33" s="19">
        <v>10.858628571428573</v>
      </c>
      <c r="AC33" s="19">
        <v>1.6943414285714271</v>
      </c>
      <c r="AD33" s="19">
        <v>12.55297</v>
      </c>
      <c r="AE33" s="19"/>
      <c r="AF33" s="19">
        <v>0.86502465722682143</v>
      </c>
      <c r="AG33" s="19">
        <v>127.79578471668665</v>
      </c>
      <c r="AH33" s="19">
        <v>21.43583368113535</v>
      </c>
      <c r="AI33" s="22">
        <v>37.911076672104407</v>
      </c>
      <c r="AJ33" s="39">
        <v>0.53075507340946171</v>
      </c>
      <c r="AK33" s="19"/>
      <c r="AL33" s="5">
        <f t="shared" si="2"/>
        <v>0.83085674494535666</v>
      </c>
      <c r="AM33" s="39"/>
      <c r="AN33" s="19">
        <v>5.9617828080628188</v>
      </c>
      <c r="AP33" s="19">
        <f t="shared" si="3"/>
        <v>41.636234892454119</v>
      </c>
      <c r="AQ33" s="39">
        <f t="shared" si="4"/>
        <v>0.58290728849435769</v>
      </c>
    </row>
    <row r="34" spans="1:43" s="38" customFormat="1">
      <c r="A34" s="38">
        <v>3</v>
      </c>
      <c r="B34" s="38" t="s">
        <v>43</v>
      </c>
      <c r="C34" s="38" t="s">
        <v>0</v>
      </c>
      <c r="D34" s="36">
        <v>37838</v>
      </c>
      <c r="E34" s="46">
        <v>0.40625</v>
      </c>
      <c r="F34" s="19">
        <v>2.72</v>
      </c>
      <c r="G34" s="19">
        <v>1.65</v>
      </c>
      <c r="H34" s="19">
        <f t="shared" si="5"/>
        <v>1.0700000000000003</v>
      </c>
      <c r="I34" s="19"/>
      <c r="J34" s="20">
        <v>0.5</v>
      </c>
      <c r="K34" s="20">
        <v>25</v>
      </c>
      <c r="L34" s="19">
        <v>4.5999999999999996</v>
      </c>
      <c r="M34" s="20">
        <v>65</v>
      </c>
      <c r="N34" s="20"/>
      <c r="O34" s="38" t="s">
        <v>51</v>
      </c>
      <c r="P34" s="40">
        <v>1</v>
      </c>
      <c r="Q34" s="38" t="s">
        <v>43</v>
      </c>
      <c r="R34" s="38" t="s">
        <v>49</v>
      </c>
      <c r="S34" s="20">
        <v>30</v>
      </c>
      <c r="T34" s="19">
        <v>0.88750778843538025</v>
      </c>
      <c r="U34" s="22">
        <v>8.5493216280925779</v>
      </c>
      <c r="V34" s="16">
        <f t="shared" si="0"/>
        <v>0.1196905027932961</v>
      </c>
      <c r="W34" s="19">
        <v>0.66197183098591561</v>
      </c>
      <c r="X34" s="16">
        <f t="shared" si="1"/>
        <v>9.2676056338028192E-3</v>
      </c>
      <c r="Y34" s="19">
        <v>9.2112934590784938</v>
      </c>
      <c r="Z34" s="19"/>
      <c r="AA34" s="19">
        <v>33.287874567022655</v>
      </c>
      <c r="AB34" s="19">
        <v>9.3110214285714292</v>
      </c>
      <c r="AC34" s="19">
        <v>1.7480735714285696</v>
      </c>
      <c r="AD34" s="19">
        <v>11.059094999999999</v>
      </c>
      <c r="AE34" s="19"/>
      <c r="AF34" s="19">
        <v>0.84193339767597886</v>
      </c>
      <c r="AG34" s="19">
        <v>78.153800962505343</v>
      </c>
      <c r="AH34" s="19">
        <v>13.717079896481156</v>
      </c>
      <c r="AI34" s="22">
        <v>42.499168026101145</v>
      </c>
      <c r="AJ34" s="39">
        <v>0.59498835236541603</v>
      </c>
      <c r="AK34" s="19"/>
      <c r="AL34" s="5">
        <f t="shared" si="2"/>
        <v>0.78702747091615222</v>
      </c>
      <c r="AM34" s="39"/>
      <c r="AN34" s="19">
        <v>5.697553819931759</v>
      </c>
      <c r="AP34" s="19">
        <f t="shared" si="3"/>
        <v>51.710461485179636</v>
      </c>
      <c r="AQ34" s="39">
        <f t="shared" si="4"/>
        <v>0.7239464607925149</v>
      </c>
    </row>
    <row r="35" spans="1:43" s="38" customFormat="1" hidden="1">
      <c r="A35" s="38">
        <v>3</v>
      </c>
      <c r="B35" s="38" t="s">
        <v>44</v>
      </c>
      <c r="C35" s="38" t="s">
        <v>0</v>
      </c>
      <c r="D35" s="36">
        <v>37838</v>
      </c>
      <c r="E35" s="46">
        <v>0.40972222222222227</v>
      </c>
      <c r="F35" s="19"/>
      <c r="G35" s="19"/>
      <c r="H35" s="19">
        <f t="shared" si="5"/>
        <v>0</v>
      </c>
      <c r="I35" s="19"/>
      <c r="J35" s="20">
        <v>2.2000000000000002</v>
      </c>
      <c r="K35" s="20">
        <v>25.2</v>
      </c>
      <c r="L35" s="19">
        <v>3</v>
      </c>
      <c r="M35" s="20">
        <v>44.7</v>
      </c>
      <c r="N35" s="20"/>
      <c r="P35" s="40"/>
      <c r="S35" s="20"/>
      <c r="T35" s="19">
        <v>0.77995629700485303</v>
      </c>
      <c r="U35" s="22">
        <v>4.996930541304045</v>
      </c>
      <c r="V35" s="16">
        <f t="shared" si="0"/>
        <v>6.9957027578256628E-2</v>
      </c>
      <c r="W35" s="19">
        <v>0.24346076458752519</v>
      </c>
      <c r="X35" s="16">
        <f t="shared" si="1"/>
        <v>3.4084507042253529E-3</v>
      </c>
      <c r="Y35" s="19">
        <v>5.2403913058915705</v>
      </c>
      <c r="Z35" s="19"/>
      <c r="AA35" s="19">
        <v>57.140505920862104</v>
      </c>
      <c r="AB35" s="19">
        <v>7.0474714285714288</v>
      </c>
      <c r="AC35" s="19">
        <v>2.3477485714285704</v>
      </c>
      <c r="AD35" s="19">
        <v>9.3952199999999984</v>
      </c>
      <c r="AE35" s="19"/>
      <c r="AF35" s="19">
        <v>0.75011244319679904</v>
      </c>
      <c r="AG35" s="19">
        <v>67.652362769534108</v>
      </c>
      <c r="AH35" s="19">
        <v>11.371042160807647</v>
      </c>
      <c r="AI35" s="22">
        <v>62.380897226753675</v>
      </c>
      <c r="AJ35" s="39">
        <v>0.87333256117455149</v>
      </c>
      <c r="AK35" s="19"/>
      <c r="AL35" s="5">
        <f t="shared" si="2"/>
        <v>1.0325271514258585</v>
      </c>
      <c r="AM35" s="39"/>
      <c r="AN35" s="19">
        <v>5.9495305542626697</v>
      </c>
      <c r="AP35" s="19">
        <f t="shared" si="3"/>
        <v>67.621288532645252</v>
      </c>
      <c r="AQ35" s="39">
        <f t="shared" si="4"/>
        <v>0.94669803945703357</v>
      </c>
    </row>
    <row r="36" spans="1:43" s="38" customFormat="1">
      <c r="A36" s="38">
        <v>3</v>
      </c>
      <c r="B36" s="38" t="s">
        <v>43</v>
      </c>
      <c r="C36" s="38" t="s">
        <v>0</v>
      </c>
      <c r="D36" s="36">
        <v>37852</v>
      </c>
      <c r="E36" s="46">
        <v>0.32291666666666669</v>
      </c>
      <c r="F36" s="19">
        <v>2.9</v>
      </c>
      <c r="G36" s="19">
        <v>1.6</v>
      </c>
      <c r="H36" s="19">
        <f t="shared" si="5"/>
        <v>1.2999999999999998</v>
      </c>
      <c r="I36" s="19"/>
      <c r="J36" s="20">
        <v>0.5</v>
      </c>
      <c r="K36" s="20">
        <v>24.1</v>
      </c>
      <c r="L36" s="19">
        <v>6.23</v>
      </c>
      <c r="M36" s="20">
        <v>86.5</v>
      </c>
      <c r="N36" s="20"/>
      <c r="O36" s="38" t="s">
        <v>49</v>
      </c>
      <c r="P36" s="40">
        <v>1</v>
      </c>
      <c r="Q36" s="38" t="s">
        <v>53</v>
      </c>
      <c r="R36" s="38" t="s">
        <v>49</v>
      </c>
      <c r="S36" s="20">
        <v>30</v>
      </c>
      <c r="T36" s="19">
        <v>0.86420875211978343</v>
      </c>
      <c r="U36" s="19">
        <v>2.0759713559036328</v>
      </c>
      <c r="V36" s="16">
        <f t="shared" si="0"/>
        <v>2.906359898265086E-2</v>
      </c>
      <c r="W36" s="19">
        <v>0.21227364185110667</v>
      </c>
      <c r="X36" s="16">
        <f t="shared" si="1"/>
        <v>2.9718309859154933E-3</v>
      </c>
      <c r="Y36" s="19">
        <v>2.2882449977547394</v>
      </c>
      <c r="Z36" s="19"/>
      <c r="AA36" s="19">
        <v>71.715816992457334</v>
      </c>
      <c r="AB36" s="19">
        <v>10.340735714285715</v>
      </c>
      <c r="AC36" s="19">
        <v>0.05</v>
      </c>
      <c r="AD36" s="19">
        <v>10.390735714285716</v>
      </c>
      <c r="AE36" s="19"/>
      <c r="AF36" s="19">
        <v>1</v>
      </c>
      <c r="AG36" s="19">
        <v>100.57808413416311</v>
      </c>
      <c r="AH36" s="19">
        <v>19.086899602578299</v>
      </c>
      <c r="AI36" s="22">
        <v>74.00406199021208</v>
      </c>
      <c r="AJ36" s="39">
        <v>1.0360568678629691</v>
      </c>
      <c r="AK36" s="19"/>
      <c r="AL36" s="5">
        <f t="shared" si="2"/>
        <v>1.3032734622990654</v>
      </c>
      <c r="AM36" s="39"/>
      <c r="AN36" s="19">
        <v>5.2694825366282538</v>
      </c>
      <c r="AP36" s="19">
        <f t="shared" si="3"/>
        <v>76.292306987966825</v>
      </c>
      <c r="AQ36" s="39">
        <f t="shared" si="4"/>
        <v>1.0680922978315355</v>
      </c>
    </row>
    <row r="37" spans="1:43" s="38" customFormat="1" hidden="1">
      <c r="A37" s="38">
        <v>3</v>
      </c>
      <c r="B37" s="38" t="s">
        <v>44</v>
      </c>
      <c r="C37" s="38" t="s">
        <v>0</v>
      </c>
      <c r="D37" s="36">
        <v>37852</v>
      </c>
      <c r="E37" s="46">
        <v>0.3298611111111111</v>
      </c>
      <c r="F37" s="19"/>
      <c r="G37" s="19"/>
      <c r="H37" s="19">
        <f t="shared" si="5"/>
        <v>0</v>
      </c>
      <c r="I37" s="19"/>
      <c r="J37" s="20">
        <v>2.4</v>
      </c>
      <c r="K37" s="20">
        <v>24.1</v>
      </c>
      <c r="L37" s="19">
        <v>4.6100000000000003</v>
      </c>
      <c r="M37" s="20">
        <v>64.8</v>
      </c>
      <c r="N37" s="20"/>
      <c r="P37" s="40"/>
      <c r="S37" s="20"/>
      <c r="T37" s="19">
        <v>1.3191876576911938</v>
      </c>
      <c r="U37" s="19">
        <v>3.2707116313501872</v>
      </c>
      <c r="V37" s="16">
        <f t="shared" si="0"/>
        <v>4.5789962838902624E-2</v>
      </c>
      <c r="W37" s="19">
        <v>0.17806841046277669</v>
      </c>
      <c r="X37" s="16">
        <f t="shared" si="1"/>
        <v>2.4929577464788736E-3</v>
      </c>
      <c r="Y37" s="19">
        <v>3.4487800418129639</v>
      </c>
      <c r="Z37" s="19"/>
      <c r="AA37" s="19">
        <v>58.626244428007595</v>
      </c>
      <c r="AB37" s="19">
        <v>9.9967285714285712</v>
      </c>
      <c r="AC37" s="19">
        <v>1.6744514285714296</v>
      </c>
      <c r="AD37" s="19">
        <v>11.671180000000001</v>
      </c>
      <c r="AE37" s="19"/>
      <c r="AF37" s="19">
        <v>0.85653109380787285</v>
      </c>
      <c r="AG37" s="19">
        <v>100.36593386763845</v>
      </c>
      <c r="AH37" s="19">
        <v>18.357021195924318</v>
      </c>
      <c r="AI37" s="22">
        <v>62.075024469820562</v>
      </c>
      <c r="AJ37" s="39">
        <v>0.86905034257748792</v>
      </c>
      <c r="AK37" s="19"/>
      <c r="AL37" s="5">
        <f t="shared" si="2"/>
        <v>1.1260486393204283</v>
      </c>
      <c r="AM37" s="39"/>
      <c r="AN37" s="19">
        <v>5.467441193014583</v>
      </c>
      <c r="AP37" s="19">
        <f t="shared" si="3"/>
        <v>65.523804511633529</v>
      </c>
      <c r="AQ37" s="39">
        <f t="shared" si="4"/>
        <v>0.91733326316286945</v>
      </c>
    </row>
    <row r="38" spans="1:43" s="38" customFormat="1">
      <c r="A38" s="38">
        <v>3</v>
      </c>
      <c r="B38" s="38" t="s">
        <v>43</v>
      </c>
      <c r="C38" s="38" t="s">
        <v>0</v>
      </c>
      <c r="D38" s="36">
        <v>37867</v>
      </c>
      <c r="E38" s="46">
        <v>0.32291666666666669</v>
      </c>
      <c r="F38" s="19">
        <v>3</v>
      </c>
      <c r="G38" s="19">
        <v>1.93</v>
      </c>
      <c r="H38" s="19">
        <f t="shared" si="5"/>
        <v>1.07</v>
      </c>
      <c r="I38" s="19"/>
      <c r="J38" s="20">
        <v>0.5</v>
      </c>
      <c r="K38" s="20">
        <v>20.3</v>
      </c>
      <c r="L38" s="19">
        <v>4.8899999999999997</v>
      </c>
      <c r="M38" s="20">
        <v>64.900000000000006</v>
      </c>
      <c r="N38" s="20"/>
      <c r="O38" s="38" t="s">
        <v>55</v>
      </c>
      <c r="P38" s="40">
        <v>1</v>
      </c>
      <c r="Q38" s="38" t="s">
        <v>50</v>
      </c>
      <c r="R38" s="38" t="s">
        <v>49</v>
      </c>
      <c r="S38" s="20">
        <v>31</v>
      </c>
      <c r="T38" s="19">
        <v>1.3165350013639174</v>
      </c>
      <c r="U38" s="19">
        <v>7.3469903967231858</v>
      </c>
      <c r="V38" s="16">
        <f t="shared" si="0"/>
        <v>0.1028578655541246</v>
      </c>
      <c r="W38" s="19">
        <v>1.4989939637826963</v>
      </c>
      <c r="X38" s="16">
        <f t="shared" si="1"/>
        <v>2.0985915492957748E-2</v>
      </c>
      <c r="Y38" s="19">
        <v>8.8459843605058825</v>
      </c>
      <c r="Z38" s="19"/>
      <c r="AA38" s="19">
        <v>107.06264532954306</v>
      </c>
      <c r="AB38" s="19">
        <v>4.285335714285714</v>
      </c>
      <c r="AC38" s="19">
        <v>2.4066292857142875</v>
      </c>
      <c r="AD38" s="19">
        <v>6.6919650000000015</v>
      </c>
      <c r="AE38" s="19"/>
      <c r="AF38" s="19">
        <v>0.64037031190176774</v>
      </c>
      <c r="AG38" s="19">
        <v>69.14118619550058</v>
      </c>
      <c r="AH38" s="19">
        <v>10.704883297591712</v>
      </c>
      <c r="AI38" s="22">
        <v>115.90862969004894</v>
      </c>
      <c r="AJ38" s="39">
        <v>1.6227208156606852</v>
      </c>
      <c r="AK38" s="19"/>
      <c r="AL38" s="5">
        <f t="shared" si="2"/>
        <v>1.772589181826969</v>
      </c>
      <c r="AM38" s="39"/>
      <c r="AN38" s="19">
        <v>6.4588453954519371</v>
      </c>
      <c r="AP38" s="19">
        <f t="shared" si="3"/>
        <v>124.75461405055482</v>
      </c>
      <c r="AQ38" s="39">
        <f t="shared" si="4"/>
        <v>1.7465645967077674</v>
      </c>
    </row>
    <row r="39" spans="1:43" s="38" customFormat="1" hidden="1">
      <c r="A39" s="38">
        <v>3</v>
      </c>
      <c r="B39" s="38" t="s">
        <v>44</v>
      </c>
      <c r="C39" s="38" t="s">
        <v>0</v>
      </c>
      <c r="D39" s="36">
        <v>37867</v>
      </c>
      <c r="E39" s="46">
        <v>0.32500000000000001</v>
      </c>
      <c r="F39" s="19"/>
      <c r="G39" s="19"/>
      <c r="H39" s="19">
        <f t="shared" si="5"/>
        <v>0</v>
      </c>
      <c r="I39" s="16">
        <f>SUM(G28:G39)/6</f>
        <v>1.5716666666666665</v>
      </c>
      <c r="J39" s="20">
        <v>2.5</v>
      </c>
      <c r="K39" s="20">
        <v>20.399999999999999</v>
      </c>
      <c r="L39" s="19">
        <v>4.49</v>
      </c>
      <c r="M39" s="20">
        <v>59.4</v>
      </c>
      <c r="N39" s="17">
        <f>SUM(L28:L39)/12</f>
        <v>5.5649999999999986</v>
      </c>
      <c r="P39" s="40"/>
      <c r="S39" s="20"/>
      <c r="T39" s="19">
        <v>1.0064660492576778</v>
      </c>
      <c r="U39" s="19">
        <v>9.9733615655203032</v>
      </c>
      <c r="V39" s="16">
        <f t="shared" si="0"/>
        <v>0.13962706191728425</v>
      </c>
      <c r="W39" s="19">
        <v>0.7193158953722335</v>
      </c>
      <c r="X39" s="16">
        <f t="shared" si="1"/>
        <v>1.0070422535211268E-2</v>
      </c>
      <c r="Y39" s="19">
        <v>10.692677460892536</v>
      </c>
      <c r="Z39" s="16">
        <f>SUM(Y28:Y39)/12</f>
        <v>5.6273393857396785</v>
      </c>
      <c r="AA39" s="19">
        <v>18.65396201708462</v>
      </c>
      <c r="AB39" s="19">
        <v>6.0000285714285706</v>
      </c>
      <c r="AC39" s="19">
        <v>1.6336514285714314</v>
      </c>
      <c r="AD39" s="19">
        <v>7.6336800000000018</v>
      </c>
      <c r="AE39" s="16">
        <f>SUM(AD28:AD39)/12</f>
        <v>10.609284404761905</v>
      </c>
      <c r="AF39" s="19">
        <v>0.78599424804662621</v>
      </c>
      <c r="AG39" s="19">
        <v>64.946268258752738</v>
      </c>
      <c r="AH39" s="19">
        <v>8.8454311663541905</v>
      </c>
      <c r="AI39" s="22">
        <v>29.346639477977156</v>
      </c>
      <c r="AJ39" s="39">
        <v>0.41085295269168021</v>
      </c>
      <c r="AK39" s="16">
        <f>SUM(AJ28:AJ39)/12</f>
        <v>0.73119858890701472</v>
      </c>
      <c r="AL39" s="5">
        <f t="shared" si="2"/>
        <v>0.53468898902063888</v>
      </c>
      <c r="AM39" s="5">
        <f>SUM(AL28:AL39)/12</f>
        <v>0.96088071889810489</v>
      </c>
      <c r="AN39" s="19">
        <v>7.3423518918774828</v>
      </c>
      <c r="AP39" s="19">
        <f t="shared" si="3"/>
        <v>40.039316938869689</v>
      </c>
      <c r="AQ39" s="39">
        <f t="shared" si="4"/>
        <v>0.56055043714417563</v>
      </c>
    </row>
    <row r="40" spans="1:43" s="38" customFormat="1">
      <c r="A40" s="61">
        <v>3</v>
      </c>
      <c r="B40" s="38" t="s">
        <v>43</v>
      </c>
      <c r="C40" s="38" t="s">
        <v>0</v>
      </c>
      <c r="D40" s="36">
        <v>38161</v>
      </c>
      <c r="E40" s="46">
        <v>0.3527777777777778</v>
      </c>
      <c r="F40" s="19">
        <v>3.1</v>
      </c>
      <c r="G40" s="19">
        <v>1.5</v>
      </c>
      <c r="H40" s="19">
        <f t="shared" si="5"/>
        <v>1.6</v>
      </c>
      <c r="I40" s="19"/>
      <c r="J40" s="20">
        <v>0.5</v>
      </c>
      <c r="K40" s="20">
        <v>20.100000000000001</v>
      </c>
      <c r="L40" s="19">
        <v>6.48</v>
      </c>
      <c r="M40" s="20">
        <v>86.1</v>
      </c>
      <c r="N40" s="20"/>
      <c r="O40" s="38" t="s">
        <v>55</v>
      </c>
      <c r="P40" s="40">
        <v>2</v>
      </c>
      <c r="Q40" s="38" t="s">
        <v>52</v>
      </c>
      <c r="R40" s="38" t="s">
        <v>49</v>
      </c>
      <c r="S40" s="20">
        <v>30</v>
      </c>
      <c r="T40" s="19">
        <v>0.18295218295218293</v>
      </c>
      <c r="U40" s="19">
        <v>2.2320612670209696</v>
      </c>
      <c r="V40" s="16">
        <f t="shared" si="0"/>
        <v>3.1248857738293577E-2</v>
      </c>
      <c r="W40" s="19">
        <v>0.2929184549356223</v>
      </c>
      <c r="X40" s="16">
        <f t="shared" si="1"/>
        <v>4.1008583690987123E-3</v>
      </c>
      <c r="Y40" s="19">
        <v>2.5249797219565919</v>
      </c>
      <c r="Z40" s="19"/>
      <c r="AA40" s="19">
        <v>62.873941105073165</v>
      </c>
      <c r="AB40" s="19">
        <v>10.746550000000001</v>
      </c>
      <c r="AC40" s="19">
        <v>0.28083999999999776</v>
      </c>
      <c r="AD40" s="19">
        <v>11.027389999999999</v>
      </c>
      <c r="AE40" s="19"/>
      <c r="AF40" s="19">
        <v>0.97453250497171151</v>
      </c>
      <c r="AG40" s="19">
        <v>77.219950528867287</v>
      </c>
      <c r="AH40" s="19">
        <v>12.282881744985776</v>
      </c>
      <c r="AI40" s="22">
        <v>65.398920827029755</v>
      </c>
      <c r="AJ40" s="39">
        <v>0.9155848915784166</v>
      </c>
      <c r="AK40" s="19"/>
      <c r="AL40" s="5">
        <f t="shared" si="2"/>
        <v>1.0875452360082174</v>
      </c>
      <c r="AM40" s="39"/>
      <c r="AN40" s="19">
        <v>6.2867942663691831</v>
      </c>
      <c r="AP40" s="19">
        <f t="shared" si="3"/>
        <v>67.923900548986353</v>
      </c>
      <c r="AQ40" s="39">
        <f t="shared" si="4"/>
        <v>0.95093460768580895</v>
      </c>
    </row>
    <row r="41" spans="1:43" s="38" customFormat="1" hidden="1">
      <c r="A41" s="61">
        <v>3</v>
      </c>
      <c r="B41" s="38" t="s">
        <v>44</v>
      </c>
      <c r="C41" s="38" t="s">
        <v>0</v>
      </c>
      <c r="D41" s="36">
        <v>38161</v>
      </c>
      <c r="E41" s="46">
        <v>0.3527777777777778</v>
      </c>
      <c r="F41" s="19"/>
      <c r="G41" s="19"/>
      <c r="H41" s="19">
        <f t="shared" si="5"/>
        <v>0</v>
      </c>
      <c r="I41" s="19"/>
      <c r="J41" s="20">
        <v>2.6</v>
      </c>
      <c r="K41" s="20">
        <v>20.100000000000001</v>
      </c>
      <c r="L41" s="19">
        <v>5.08</v>
      </c>
      <c r="M41" s="20">
        <v>70.099999999999994</v>
      </c>
      <c r="N41" s="20"/>
      <c r="P41" s="40"/>
      <c r="S41" s="20"/>
      <c r="T41" s="19">
        <v>0.26340956340956345</v>
      </c>
      <c r="U41" s="19">
        <v>2.2320612670209696</v>
      </c>
      <c r="V41" s="16">
        <f t="shared" si="0"/>
        <v>3.1248857738293577E-2</v>
      </c>
      <c r="W41" s="19">
        <v>0.2188841201716738</v>
      </c>
      <c r="X41" s="16">
        <f t="shared" si="1"/>
        <v>3.0643776824034333E-3</v>
      </c>
      <c r="Y41" s="19">
        <v>2.4509453871926432</v>
      </c>
      <c r="Z41" s="19"/>
      <c r="AA41" s="19">
        <v>62.947975439837109</v>
      </c>
      <c r="AB41" s="19">
        <v>10.00037142857143</v>
      </c>
      <c r="AC41" s="19">
        <v>0.60822357142856942</v>
      </c>
      <c r="AD41" s="19">
        <v>10.608594999999999</v>
      </c>
      <c r="AE41" s="19"/>
      <c r="AF41" s="19">
        <v>0.94266690627471694</v>
      </c>
      <c r="AG41" s="19">
        <v>84.524127898125187</v>
      </c>
      <c r="AH41" s="19">
        <v>12.689315991225946</v>
      </c>
      <c r="AI41" s="19">
        <v>65.398920827029755</v>
      </c>
      <c r="AJ41" s="39">
        <v>0.9155848915784166</v>
      </c>
      <c r="AK41" s="19"/>
      <c r="AL41" s="5">
        <f t="shared" si="2"/>
        <v>1.0932353154555798</v>
      </c>
      <c r="AM41" s="39"/>
      <c r="AN41" s="19">
        <v>6.6610468173831885</v>
      </c>
      <c r="AP41" s="19">
        <f t="shared" si="3"/>
        <v>67.849866214222402</v>
      </c>
      <c r="AQ41" s="39">
        <f t="shared" si="4"/>
        <v>0.94989812699911369</v>
      </c>
    </row>
    <row r="42" spans="1:43" s="38" customFormat="1">
      <c r="A42" s="61">
        <v>3</v>
      </c>
      <c r="B42" s="38" t="s">
        <v>43</v>
      </c>
      <c r="C42" s="38" t="s">
        <v>0</v>
      </c>
      <c r="D42" s="36">
        <v>38175</v>
      </c>
      <c r="E42" s="46">
        <v>0.35347222222222219</v>
      </c>
      <c r="F42" s="19">
        <v>3.05</v>
      </c>
      <c r="G42" s="19">
        <v>1.425</v>
      </c>
      <c r="H42" s="19">
        <f t="shared" si="5"/>
        <v>1.6249999999999998</v>
      </c>
      <c r="I42" s="19"/>
      <c r="J42" s="20">
        <v>0.5</v>
      </c>
      <c r="K42" s="20">
        <v>23.3</v>
      </c>
      <c r="L42" s="19">
        <v>6.8</v>
      </c>
      <c r="M42" s="20">
        <v>94</v>
      </c>
      <c r="N42" s="20"/>
      <c r="O42" s="38" t="s">
        <v>55</v>
      </c>
      <c r="P42" s="40">
        <v>1</v>
      </c>
      <c r="Q42" s="38" t="s">
        <v>52</v>
      </c>
      <c r="R42" s="38" t="s">
        <v>49</v>
      </c>
      <c r="S42" s="20">
        <v>30</v>
      </c>
      <c r="T42" s="19">
        <v>0.4881223362032967</v>
      </c>
      <c r="U42" s="19">
        <v>4.4353274986687055</v>
      </c>
      <c r="V42" s="16">
        <f t="shared" si="0"/>
        <v>6.2094584981361875E-2</v>
      </c>
      <c r="W42" s="19">
        <v>0.53648068669527893</v>
      </c>
      <c r="X42" s="16">
        <f t="shared" si="1"/>
        <v>7.5107296137339056E-3</v>
      </c>
      <c r="Y42" s="19">
        <v>4.9718081853639848</v>
      </c>
      <c r="Z42" s="19"/>
      <c r="AA42" s="19">
        <v>65.941484805054571</v>
      </c>
      <c r="AB42" s="19">
        <v>9.7218142857142844</v>
      </c>
      <c r="AC42" s="19">
        <v>1.2889157142857173</v>
      </c>
      <c r="AD42" s="19">
        <v>11.010730000000002</v>
      </c>
      <c r="AE42" s="19"/>
      <c r="AF42" s="19">
        <v>0.88294003083485673</v>
      </c>
      <c r="AG42" s="19">
        <v>110.54693752096239</v>
      </c>
      <c r="AH42" s="19">
        <v>19.350031466241628</v>
      </c>
      <c r="AI42" s="22">
        <v>70.913292990418554</v>
      </c>
      <c r="AJ42" s="39">
        <v>0.9927861018658598</v>
      </c>
      <c r="AK42" s="19"/>
      <c r="AL42" s="5">
        <f t="shared" si="2"/>
        <v>1.2636865423932426</v>
      </c>
      <c r="AM42" s="39"/>
      <c r="AN42" s="19">
        <v>5.7130107366401095</v>
      </c>
      <c r="AP42" s="19">
        <f t="shared" si="3"/>
        <v>75.885101175782538</v>
      </c>
      <c r="AQ42" s="39">
        <f t="shared" si="4"/>
        <v>1.0623914164609556</v>
      </c>
    </row>
    <row r="43" spans="1:43" s="38" customFormat="1" hidden="1">
      <c r="A43" s="61">
        <v>3</v>
      </c>
      <c r="B43" s="38" t="s">
        <v>44</v>
      </c>
      <c r="C43" s="38" t="s">
        <v>0</v>
      </c>
      <c r="D43" s="36">
        <v>38175</v>
      </c>
      <c r="E43" s="46">
        <v>0.3576388888888889</v>
      </c>
      <c r="F43" s="19"/>
      <c r="G43" s="19"/>
      <c r="H43" s="19">
        <f t="shared" si="5"/>
        <v>0</v>
      </c>
      <c r="I43" s="19"/>
      <c r="J43" s="20">
        <v>2.5</v>
      </c>
      <c r="K43" s="20">
        <v>22.8</v>
      </c>
      <c r="L43" s="19">
        <v>4.5</v>
      </c>
      <c r="M43" s="20">
        <v>65</v>
      </c>
      <c r="N43" s="20"/>
      <c r="P43" s="40"/>
      <c r="S43" s="20"/>
      <c r="T43" s="19">
        <v>0.88027608066135488</v>
      </c>
      <c r="U43" s="19">
        <v>2.966699322360479</v>
      </c>
      <c r="V43" s="16">
        <f t="shared" si="0"/>
        <v>4.1533790513046703E-2</v>
      </c>
      <c r="W43" s="19">
        <v>0.28594399999999998</v>
      </c>
      <c r="X43" s="16">
        <f t="shared" si="1"/>
        <v>4.0032159999999995E-3</v>
      </c>
      <c r="Y43" s="19">
        <v>3.2526433223604787</v>
      </c>
      <c r="Z43" s="19"/>
      <c r="AA43" s="19">
        <v>21.626088468556404</v>
      </c>
      <c r="AB43" s="19">
        <v>10.156892857142861</v>
      </c>
      <c r="AC43" s="19">
        <v>2.197857142857139</v>
      </c>
      <c r="AD43" s="19">
        <v>12.354749999999999</v>
      </c>
      <c r="AE43" s="19"/>
      <c r="AF43" s="19">
        <v>0.82210428030861504</v>
      </c>
      <c r="AG43" s="19">
        <v>91.193876467516787</v>
      </c>
      <c r="AH43" s="19">
        <v>15.668788978873485</v>
      </c>
      <c r="AI43" s="19">
        <v>24.878731790916884</v>
      </c>
      <c r="AJ43" s="39">
        <v>0.34830224507283636</v>
      </c>
      <c r="AK43" s="19"/>
      <c r="AL43" s="5">
        <f t="shared" si="2"/>
        <v>0.56766529077706518</v>
      </c>
      <c r="AM43" s="39"/>
      <c r="AN43" s="19">
        <v>5.8200973023808773</v>
      </c>
      <c r="AP43" s="19">
        <f t="shared" si="3"/>
        <v>28.131375113277365</v>
      </c>
      <c r="AQ43" s="39">
        <f t="shared" si="4"/>
        <v>0.39383925158588312</v>
      </c>
    </row>
    <row r="44" spans="1:43" s="38" customFormat="1">
      <c r="A44" s="61">
        <v>3</v>
      </c>
      <c r="B44" s="38" t="s">
        <v>43</v>
      </c>
      <c r="C44" s="38" t="s">
        <v>0</v>
      </c>
      <c r="D44" s="36">
        <v>38190</v>
      </c>
      <c r="E44" s="46">
        <v>0.34722222222222227</v>
      </c>
      <c r="F44" s="19">
        <v>2.6</v>
      </c>
      <c r="G44" s="19">
        <v>1.55</v>
      </c>
      <c r="H44" s="19">
        <f t="shared" si="5"/>
        <v>1.05</v>
      </c>
      <c r="I44" s="19"/>
      <c r="J44" s="20">
        <v>0.5</v>
      </c>
      <c r="K44" s="20">
        <v>24.6</v>
      </c>
      <c r="L44" s="19">
        <v>5</v>
      </c>
      <c r="M44" s="20">
        <v>71</v>
      </c>
      <c r="N44" s="20"/>
      <c r="O44" s="38" t="s">
        <v>56</v>
      </c>
      <c r="P44" s="40">
        <v>0</v>
      </c>
      <c r="R44" s="38" t="s">
        <v>57</v>
      </c>
      <c r="S44" s="20">
        <v>31</v>
      </c>
      <c r="T44" s="19">
        <v>0.12539783577339264</v>
      </c>
      <c r="U44" s="19">
        <v>2.5157689489112229</v>
      </c>
      <c r="V44" s="16">
        <f t="shared" si="0"/>
        <v>3.5220765284757122E-2</v>
      </c>
      <c r="W44" s="19">
        <v>0.47667658424814469</v>
      </c>
      <c r="X44" s="16">
        <f t="shared" si="1"/>
        <v>6.6734721794740257E-3</v>
      </c>
      <c r="Y44" s="19">
        <v>2.9924455331593678</v>
      </c>
      <c r="Z44" s="19"/>
      <c r="AA44" s="19">
        <v>91.97755446684063</v>
      </c>
      <c r="AB44" s="19">
        <v>5.9599571428571423</v>
      </c>
      <c r="AC44" s="19">
        <v>0.72376285714285626</v>
      </c>
      <c r="AD44" s="19">
        <v>6.6837199999999983</v>
      </c>
      <c r="AE44" s="19"/>
      <c r="AF44" s="19">
        <v>0.89171257067279053</v>
      </c>
      <c r="AG44" s="19">
        <v>102.05162709797307</v>
      </c>
      <c r="AH44" s="19">
        <v>16.76410663476495</v>
      </c>
      <c r="AI44" s="22">
        <v>94.97</v>
      </c>
      <c r="AJ44" s="39">
        <v>1.32958</v>
      </c>
      <c r="AK44" s="19"/>
      <c r="AL44" s="5">
        <f t="shared" si="2"/>
        <v>1.5642774928867091</v>
      </c>
      <c r="AM44" s="39"/>
      <c r="AN44" s="19">
        <v>6.0875076329054822</v>
      </c>
      <c r="AP44" s="19">
        <f t="shared" si="3"/>
        <v>97.962445533159368</v>
      </c>
      <c r="AQ44" s="39">
        <f t="shared" si="4"/>
        <v>1.3714742374642312</v>
      </c>
    </row>
    <row r="45" spans="1:43" s="38" customFormat="1" hidden="1">
      <c r="A45" s="61">
        <v>3</v>
      </c>
      <c r="B45" s="38" t="s">
        <v>44</v>
      </c>
      <c r="C45" s="38" t="s">
        <v>0</v>
      </c>
      <c r="D45" s="36">
        <v>38190</v>
      </c>
      <c r="E45" s="46">
        <v>0.34861111111111115</v>
      </c>
      <c r="F45" s="19"/>
      <c r="G45" s="19"/>
      <c r="H45" s="19">
        <f t="shared" si="5"/>
        <v>0</v>
      </c>
      <c r="I45" s="19"/>
      <c r="J45" s="20">
        <v>2.1</v>
      </c>
      <c r="K45" s="20">
        <v>24.4</v>
      </c>
      <c r="L45" s="19">
        <v>5.4</v>
      </c>
      <c r="M45" s="20">
        <v>74</v>
      </c>
      <c r="N45" s="20"/>
      <c r="P45" s="40"/>
      <c r="S45" s="20"/>
      <c r="T45" s="19">
        <v>0.80563258698051188</v>
      </c>
      <c r="U45" s="19">
        <v>1.4409155150753774</v>
      </c>
      <c r="V45" s="16">
        <f t="shared" si="0"/>
        <v>2.0172817211055283E-2</v>
      </c>
      <c r="W45" s="19">
        <v>0.35568209021579289</v>
      </c>
      <c r="X45" s="16">
        <f t="shared" si="1"/>
        <v>4.9795492630211003E-3</v>
      </c>
      <c r="Y45" s="19">
        <v>1.7965976052911703</v>
      </c>
      <c r="Z45" s="19"/>
      <c r="AA45" s="19">
        <v>30.53714239470883</v>
      </c>
      <c r="AB45" s="19">
        <v>9.9814285714285713</v>
      </c>
      <c r="AC45" s="19">
        <v>1.6078964285714288</v>
      </c>
      <c r="AD45" s="19">
        <v>11.589325000000001</v>
      </c>
      <c r="AE45" s="19"/>
      <c r="AF45" s="19">
        <v>0.86126056275310003</v>
      </c>
      <c r="AG45" s="19">
        <v>96.840748957477757</v>
      </c>
      <c r="AH45" s="19">
        <v>15.902131690939393</v>
      </c>
      <c r="AI45" s="19">
        <v>32.333739999999999</v>
      </c>
      <c r="AJ45" s="39">
        <v>0.45267236</v>
      </c>
      <c r="AK45" s="19"/>
      <c r="AL45" s="5">
        <f t="shared" si="2"/>
        <v>0.67530220367315152</v>
      </c>
      <c r="AM45" s="39"/>
      <c r="AN45" s="19">
        <v>6.089796691386665</v>
      </c>
      <c r="AP45" s="19">
        <f t="shared" si="3"/>
        <v>34.130337605291167</v>
      </c>
      <c r="AQ45" s="39">
        <f t="shared" si="4"/>
        <v>0.47782472647407637</v>
      </c>
    </row>
    <row r="46" spans="1:43" s="38" customFormat="1">
      <c r="A46" s="61">
        <v>3</v>
      </c>
      <c r="B46" s="38" t="s">
        <v>43</v>
      </c>
      <c r="C46" s="38" t="s">
        <v>0</v>
      </c>
      <c r="D46" s="36">
        <v>38204</v>
      </c>
      <c r="E46" s="46">
        <v>0.34375</v>
      </c>
      <c r="F46" s="19">
        <v>2.4</v>
      </c>
      <c r="G46" s="19">
        <v>1.4</v>
      </c>
      <c r="H46" s="19">
        <f t="shared" si="5"/>
        <v>1</v>
      </c>
      <c r="I46" s="19"/>
      <c r="J46" s="20">
        <v>0.5</v>
      </c>
      <c r="K46" s="20">
        <v>24.4</v>
      </c>
      <c r="L46" s="19">
        <v>5.1100000000000003</v>
      </c>
      <c r="M46" s="20">
        <v>72.7</v>
      </c>
      <c r="N46" s="20"/>
      <c r="O46" s="38" t="s">
        <v>58</v>
      </c>
      <c r="P46" s="40">
        <v>4</v>
      </c>
      <c r="Q46" s="38" t="s">
        <v>50</v>
      </c>
      <c r="R46" s="38" t="s">
        <v>49</v>
      </c>
      <c r="S46" s="20">
        <v>30</v>
      </c>
      <c r="T46" s="19">
        <v>0.87854756300591286</v>
      </c>
      <c r="U46" s="19">
        <v>1.4733637205327246</v>
      </c>
      <c r="V46" s="16">
        <f t="shared" si="0"/>
        <v>2.0627092087458145E-2</v>
      </c>
      <c r="W46" s="19">
        <v>1.2516671796450187</v>
      </c>
      <c r="X46" s="16">
        <f t="shared" si="1"/>
        <v>1.7523340515030263E-2</v>
      </c>
      <c r="Y46" s="19">
        <v>2.7250309001777433</v>
      </c>
      <c r="Z46" s="19"/>
      <c r="AA46" s="19">
        <v>77.969899099822257</v>
      </c>
      <c r="AB46" s="19">
        <v>11.051578571428569</v>
      </c>
      <c r="AC46" s="19">
        <v>0.05</v>
      </c>
      <c r="AD46" s="19">
        <v>11.1</v>
      </c>
      <c r="AE46" s="19"/>
      <c r="AF46" s="19">
        <v>1</v>
      </c>
      <c r="AG46" s="19">
        <v>68.944504574605361</v>
      </c>
      <c r="AH46" s="19">
        <v>10.92282708037305</v>
      </c>
      <c r="AI46" s="22">
        <v>80.694929999999999</v>
      </c>
      <c r="AJ46" s="39">
        <v>1.1297290200000001</v>
      </c>
      <c r="AK46" s="19"/>
      <c r="AL46" s="5">
        <f t="shared" si="2"/>
        <v>1.2826485991252228</v>
      </c>
      <c r="AM46" s="39"/>
      <c r="AN46" s="19">
        <v>6.3119652144351885</v>
      </c>
      <c r="AP46" s="19">
        <f t="shared" si="3"/>
        <v>83.419960900177742</v>
      </c>
      <c r="AQ46" s="39">
        <f t="shared" si="4"/>
        <v>1.1678794526024885</v>
      </c>
    </row>
    <row r="47" spans="1:43" s="38" customFormat="1" hidden="1">
      <c r="A47" s="61">
        <v>3</v>
      </c>
      <c r="B47" s="38" t="s">
        <v>44</v>
      </c>
      <c r="C47" s="38" t="s">
        <v>0</v>
      </c>
      <c r="D47" s="36">
        <v>38204</v>
      </c>
      <c r="E47" s="46">
        <v>0.3444444444444445</v>
      </c>
      <c r="F47" s="19"/>
      <c r="G47" s="19"/>
      <c r="H47" s="19">
        <f t="shared" si="5"/>
        <v>0</v>
      </c>
      <c r="I47" s="19"/>
      <c r="J47" s="20">
        <v>1.9</v>
      </c>
      <c r="K47" s="20">
        <v>24.5</v>
      </c>
      <c r="L47" s="19">
        <v>4.8600000000000003</v>
      </c>
      <c r="M47" s="20">
        <v>67.7</v>
      </c>
      <c r="N47" s="20"/>
      <c r="P47" s="40"/>
      <c r="S47" s="20"/>
      <c r="T47" s="19">
        <v>0.61216028474654083</v>
      </c>
      <c r="U47" s="19">
        <v>0.38882558222348607</v>
      </c>
      <c r="V47" s="16">
        <f t="shared" si="0"/>
        <v>5.443558151128805E-3</v>
      </c>
      <c r="W47" s="19">
        <v>0.05</v>
      </c>
      <c r="X47" s="16">
        <f t="shared" si="1"/>
        <v>7.000000000000001E-4</v>
      </c>
      <c r="Y47" s="19">
        <v>0.41382558222348609</v>
      </c>
      <c r="Z47" s="19"/>
      <c r="AA47" s="19">
        <v>17.877502609721677</v>
      </c>
      <c r="AB47" s="19">
        <v>11.963507142857143</v>
      </c>
      <c r="AC47" s="19">
        <v>0.49154285714285739</v>
      </c>
      <c r="AD47" s="19">
        <v>12.45505</v>
      </c>
      <c r="AE47" s="19"/>
      <c r="AF47" s="19">
        <v>0.96053465404451555</v>
      </c>
      <c r="AG47" s="19">
        <v>71.992580046782535</v>
      </c>
      <c r="AH47" s="19">
        <v>11.437275618275288</v>
      </c>
      <c r="AI47" s="19">
        <v>18.291328191945162</v>
      </c>
      <c r="AJ47" s="39">
        <v>0.25607859468723226</v>
      </c>
      <c r="AK47" s="19"/>
      <c r="AL47" s="5">
        <f t="shared" si="2"/>
        <v>0.41620045334308631</v>
      </c>
      <c r="AM47" s="39"/>
      <c r="AN47" s="19">
        <v>6.2945567152152648</v>
      </c>
      <c r="AP47" s="19">
        <f t="shared" si="3"/>
        <v>18.705153774168647</v>
      </c>
      <c r="AQ47" s="39">
        <f t="shared" si="4"/>
        <v>0.26187215283836107</v>
      </c>
    </row>
    <row r="48" spans="1:43" s="38" customFormat="1">
      <c r="A48" s="61">
        <v>3</v>
      </c>
      <c r="B48" s="38" t="s">
        <v>43</v>
      </c>
      <c r="C48" s="38" t="s">
        <v>0</v>
      </c>
      <c r="D48" s="36">
        <v>38218</v>
      </c>
      <c r="E48" s="46">
        <v>0.3263888888888889</v>
      </c>
      <c r="F48" s="19">
        <v>2.2999999999999998</v>
      </c>
      <c r="G48" s="19">
        <v>1.5</v>
      </c>
      <c r="H48" s="19">
        <f t="shared" si="5"/>
        <v>0.79999999999999982</v>
      </c>
      <c r="I48" s="19"/>
      <c r="J48" s="20">
        <v>0.5</v>
      </c>
      <c r="K48" s="20">
        <v>22.4</v>
      </c>
      <c r="L48" s="19">
        <v>6.83</v>
      </c>
      <c r="M48" s="20">
        <v>95</v>
      </c>
      <c r="N48" s="20"/>
      <c r="O48" s="38" t="s">
        <v>51</v>
      </c>
      <c r="P48" s="40">
        <v>2</v>
      </c>
      <c r="Q48" s="38" t="s">
        <v>53</v>
      </c>
      <c r="R48" s="38" t="s">
        <v>49</v>
      </c>
      <c r="S48" s="20">
        <v>30</v>
      </c>
      <c r="T48" s="19">
        <v>0.44114403859407314</v>
      </c>
      <c r="U48" s="19">
        <v>2.7427496045238833</v>
      </c>
      <c r="V48" s="16">
        <f t="shared" si="0"/>
        <v>3.8398494463334369E-2</v>
      </c>
      <c r="W48" s="19">
        <v>1.7836257309941517</v>
      </c>
      <c r="X48" s="16">
        <f t="shared" si="1"/>
        <v>2.4970760233918123E-2</v>
      </c>
      <c r="Y48" s="19">
        <v>4.5263753355180345</v>
      </c>
      <c r="Z48" s="19"/>
      <c r="AA48" s="19">
        <v>31.984747200900138</v>
      </c>
      <c r="AB48" s="19">
        <v>8.0898142857142865</v>
      </c>
      <c r="AC48" s="19">
        <v>2.6568207142857125</v>
      </c>
      <c r="AD48" s="19">
        <v>10.746634999999999</v>
      </c>
      <c r="AE48" s="19"/>
      <c r="AF48" s="19">
        <v>0.7527765003384117</v>
      </c>
      <c r="AG48" s="19">
        <v>89.806063467809111</v>
      </c>
      <c r="AH48" s="19">
        <v>14.997617723912057</v>
      </c>
      <c r="AI48" s="19">
        <v>36.511122536418171</v>
      </c>
      <c r="AJ48" s="39">
        <v>0.51115571550985439</v>
      </c>
      <c r="AK48" s="19"/>
      <c r="AL48" s="5">
        <f t="shared" si="2"/>
        <v>0.72112236364462323</v>
      </c>
      <c r="AM48" s="39"/>
      <c r="AN48" s="19">
        <v>5.9880219059473152</v>
      </c>
      <c r="AP48" s="19">
        <f t="shared" si="3"/>
        <v>41.037497871936203</v>
      </c>
      <c r="AQ48" s="39">
        <f t="shared" si="4"/>
        <v>0.57452497020710691</v>
      </c>
    </row>
    <row r="49" spans="1:43" s="38" customFormat="1" hidden="1">
      <c r="A49" s="61">
        <v>3</v>
      </c>
      <c r="B49" s="38" t="s">
        <v>44</v>
      </c>
      <c r="C49" s="38" t="s">
        <v>0</v>
      </c>
      <c r="D49" s="36">
        <v>38218</v>
      </c>
      <c r="E49" s="46"/>
      <c r="F49" s="19"/>
      <c r="G49" s="19"/>
      <c r="H49" s="19">
        <f t="shared" si="5"/>
        <v>0</v>
      </c>
      <c r="I49" s="19"/>
      <c r="J49" s="20">
        <v>1.8</v>
      </c>
      <c r="K49" s="20">
        <v>22.4</v>
      </c>
      <c r="L49" s="19">
        <v>5.75</v>
      </c>
      <c r="M49" s="20">
        <v>85</v>
      </c>
      <c r="N49" s="20"/>
      <c r="P49" s="40"/>
      <c r="S49" s="20"/>
      <c r="T49" s="19">
        <v>0.7255293518470517</v>
      </c>
      <c r="U49" s="19">
        <v>1.5551939196683455</v>
      </c>
      <c r="V49" s="16">
        <f t="shared" si="0"/>
        <v>2.1772714875356838E-2</v>
      </c>
      <c r="W49" s="19">
        <v>0.2263431483191409</v>
      </c>
      <c r="X49" s="16">
        <f t="shared" si="1"/>
        <v>3.1688040764679729E-3</v>
      </c>
      <c r="Y49" s="19">
        <v>1.7815370679874865</v>
      </c>
      <c r="Z49" s="19"/>
      <c r="AA49" s="19">
        <v>20.108762846322712</v>
      </c>
      <c r="AB49" s="19">
        <v>7.3041714285714274</v>
      </c>
      <c r="AC49" s="19">
        <v>2.6449085714285712</v>
      </c>
      <c r="AD49" s="19">
        <v>9.9490799999999986</v>
      </c>
      <c r="AE49" s="19"/>
      <c r="AF49" s="19">
        <v>0.73415546247205055</v>
      </c>
      <c r="AG49" s="19">
        <v>74.195986960351291</v>
      </c>
      <c r="AH49" s="19">
        <v>11.863163382728207</v>
      </c>
      <c r="AI49" s="19">
        <v>21.890299914310198</v>
      </c>
      <c r="AJ49" s="39">
        <v>0.30646419880034276</v>
      </c>
      <c r="AK49" s="19"/>
      <c r="AL49" s="5">
        <f t="shared" si="2"/>
        <v>0.47254848615853773</v>
      </c>
      <c r="AM49" s="39"/>
      <c r="AN49" s="19">
        <v>6.2543172142747832</v>
      </c>
      <c r="AP49" s="19">
        <f t="shared" si="3"/>
        <v>23.671836982297684</v>
      </c>
      <c r="AQ49" s="39">
        <f t="shared" si="4"/>
        <v>0.33140571775216759</v>
      </c>
    </row>
    <row r="50" spans="1:43" s="38" customFormat="1">
      <c r="A50" s="61">
        <v>3</v>
      </c>
      <c r="B50" s="38" t="s">
        <v>43</v>
      </c>
      <c r="C50" s="38" t="s">
        <v>0</v>
      </c>
      <c r="D50" s="36">
        <v>38237</v>
      </c>
      <c r="E50" s="46">
        <v>0.34027777777777773</v>
      </c>
      <c r="F50" s="19">
        <v>2.9</v>
      </c>
      <c r="G50" s="19">
        <v>1.75</v>
      </c>
      <c r="H50" s="19">
        <f t="shared" si="5"/>
        <v>1.1499999999999999</v>
      </c>
      <c r="I50" s="19"/>
      <c r="J50" s="20">
        <v>0.5</v>
      </c>
      <c r="K50" s="20">
        <v>21.2</v>
      </c>
      <c r="L50" s="19">
        <v>6.08</v>
      </c>
      <c r="M50" s="20">
        <v>83.5</v>
      </c>
      <c r="N50" s="20"/>
      <c r="O50" s="38" t="s">
        <v>51</v>
      </c>
      <c r="P50" s="40">
        <v>1</v>
      </c>
      <c r="Q50" s="38" t="s">
        <v>59</v>
      </c>
      <c r="R50" s="38" t="s">
        <v>49</v>
      </c>
      <c r="S50" s="20">
        <v>32</v>
      </c>
      <c r="T50" s="19">
        <v>0.11915887850467283</v>
      </c>
      <c r="U50" s="19">
        <v>0.93763997960224632</v>
      </c>
      <c r="V50" s="16">
        <f t="shared" si="0"/>
        <v>1.3126959714431449E-2</v>
      </c>
      <c r="W50" s="19">
        <v>1.2725282993057692</v>
      </c>
      <c r="X50" s="16">
        <f t="shared" si="1"/>
        <v>1.7815396190280768E-2</v>
      </c>
      <c r="Y50" s="19">
        <v>2.2101682789080153</v>
      </c>
      <c r="Z50" s="19"/>
      <c r="AA50" s="19">
        <v>77.462189276220016</v>
      </c>
      <c r="AB50" s="19">
        <v>10.061280000000002</v>
      </c>
      <c r="AC50" s="19">
        <v>0.05</v>
      </c>
      <c r="AD50" s="19">
        <v>11.1</v>
      </c>
      <c r="AE50" s="19"/>
      <c r="AF50" s="19">
        <v>1</v>
      </c>
      <c r="AG50" s="19">
        <v>79.212867040204799</v>
      </c>
      <c r="AH50" s="19">
        <v>12.266164655166129</v>
      </c>
      <c r="AI50" s="19">
        <v>79.672357555128031</v>
      </c>
      <c r="AJ50" s="39">
        <v>1.1154130057717924</v>
      </c>
      <c r="AK50" s="19"/>
      <c r="AL50" s="5">
        <f t="shared" si="2"/>
        <v>1.2871393109441183</v>
      </c>
      <c r="AM50" s="39"/>
      <c r="AN50" s="19">
        <v>6.4578349685565968</v>
      </c>
      <c r="AP50" s="19">
        <f t="shared" si="3"/>
        <v>81.882525834036045</v>
      </c>
      <c r="AQ50" s="39">
        <f t="shared" si="4"/>
        <v>1.1463553616765048</v>
      </c>
    </row>
    <row r="51" spans="1:43" s="38" customFormat="1" hidden="1">
      <c r="A51" s="61">
        <v>3</v>
      </c>
      <c r="B51" s="38" t="s">
        <v>44</v>
      </c>
      <c r="C51" s="38" t="s">
        <v>0</v>
      </c>
      <c r="D51" s="36">
        <v>38237</v>
      </c>
      <c r="E51" s="46">
        <v>0.34375</v>
      </c>
      <c r="F51" s="19"/>
      <c r="G51" s="19"/>
      <c r="H51" s="19">
        <f t="shared" si="5"/>
        <v>0</v>
      </c>
      <c r="I51" s="16">
        <f>SUM(G40:G51)/6</f>
        <v>1.5208333333333333</v>
      </c>
      <c r="J51" s="20">
        <v>2.4</v>
      </c>
      <c r="K51" s="20">
        <v>21</v>
      </c>
      <c r="L51" s="19">
        <v>5.29</v>
      </c>
      <c r="M51" s="20">
        <v>72.3</v>
      </c>
      <c r="N51" s="17">
        <f>SUM(L40:L51)/12</f>
        <v>5.5983333333333327</v>
      </c>
      <c r="P51" s="40"/>
      <c r="S51" s="20"/>
      <c r="T51" s="19">
        <v>0.46261682242990654</v>
      </c>
      <c r="U51" s="19">
        <v>0.72226007139214943</v>
      </c>
      <c r="V51" s="16">
        <f t="shared" si="0"/>
        <v>1.0111640999490093E-2</v>
      </c>
      <c r="W51" s="19">
        <v>0.44121268082486914</v>
      </c>
      <c r="X51" s="16">
        <f t="shared" si="1"/>
        <v>6.1769775315481685E-3</v>
      </c>
      <c r="Y51" s="19">
        <v>1.1634727522170185</v>
      </c>
      <c r="Z51" s="16">
        <f>SUM(Y40:Y51)/12</f>
        <v>2.5674858060296679</v>
      </c>
      <c r="AA51" s="19">
        <v>19.923485259779554</v>
      </c>
      <c r="AB51" s="19">
        <v>10.708542857142858</v>
      </c>
      <c r="AC51" s="19">
        <v>1.2948171428571449</v>
      </c>
      <c r="AD51" s="19">
        <v>12.003360000000002</v>
      </c>
      <c r="AE51" s="16">
        <f>SUM(AD40:AD51)/12</f>
        <v>10.885719583333334</v>
      </c>
      <c r="AF51" s="19">
        <v>0.89212877537146729</v>
      </c>
      <c r="AG51" s="19">
        <v>73.38521793365733</v>
      </c>
      <c r="AH51" s="19">
        <v>11.281423582977535</v>
      </c>
      <c r="AI51" s="19">
        <v>21.086958011996572</v>
      </c>
      <c r="AJ51" s="39">
        <v>0.295217412167952</v>
      </c>
      <c r="AK51" s="16">
        <f>SUM(AJ40:AJ51)/12</f>
        <v>0.71404736975272531</v>
      </c>
      <c r="AL51" s="5">
        <f t="shared" si="2"/>
        <v>0.45315734232963756</v>
      </c>
      <c r="AM51" s="5">
        <f>SUM(AL40:AL51)/12</f>
        <v>0.90704405306159941</v>
      </c>
      <c r="AN51" s="19">
        <v>6.5049607785659074</v>
      </c>
      <c r="AP51" s="19">
        <f t="shared" si="3"/>
        <v>22.25043076421359</v>
      </c>
      <c r="AQ51" s="39">
        <f t="shared" si="4"/>
        <v>0.31150603069899024</v>
      </c>
    </row>
    <row r="52" spans="1:43" s="38" customFormat="1">
      <c r="A52" s="45">
        <v>3</v>
      </c>
      <c r="B52" s="47" t="s">
        <v>43</v>
      </c>
      <c r="C52" s="45" t="s">
        <v>0</v>
      </c>
      <c r="D52" s="62">
        <v>38517</v>
      </c>
      <c r="E52" s="63"/>
      <c r="F52" s="64">
        <v>3.2</v>
      </c>
      <c r="G52" s="19">
        <v>1.2</v>
      </c>
      <c r="H52" s="19">
        <f t="shared" si="5"/>
        <v>2</v>
      </c>
      <c r="I52" s="19"/>
      <c r="J52" s="21">
        <v>0.5</v>
      </c>
      <c r="K52" s="21">
        <v>21.3</v>
      </c>
      <c r="L52" s="22">
        <v>7.18</v>
      </c>
      <c r="M52" s="21">
        <v>92.6</v>
      </c>
      <c r="N52" s="20"/>
      <c r="O52" s="19"/>
      <c r="P52" s="40"/>
      <c r="S52" s="21">
        <v>28.9</v>
      </c>
      <c r="T52" s="22">
        <v>0.12709677419354834</v>
      </c>
      <c r="U52" s="22">
        <v>0.86391807539373877</v>
      </c>
      <c r="V52" s="19">
        <f t="shared" si="0"/>
        <v>1.2094853055512344E-2</v>
      </c>
      <c r="W52" s="22">
        <v>0.05</v>
      </c>
      <c r="X52" s="19">
        <f t="shared" si="1"/>
        <v>7.000000000000001E-4</v>
      </c>
      <c r="Y52" s="22">
        <v>0.88891807539373879</v>
      </c>
      <c r="Z52" s="19"/>
      <c r="AA52" s="22">
        <v>20.51077192460626</v>
      </c>
      <c r="AB52" s="22">
        <v>23.293545714285724</v>
      </c>
      <c r="AC52" s="22" t="s">
        <v>60</v>
      </c>
      <c r="AD52" s="22">
        <v>23.318545714285722</v>
      </c>
      <c r="AE52" s="19"/>
      <c r="AF52" s="22">
        <v>1</v>
      </c>
      <c r="AG52" s="22">
        <v>139.14979066106247</v>
      </c>
      <c r="AH52" s="22">
        <v>17.021623969534428</v>
      </c>
      <c r="AI52" s="22">
        <v>37.532395894140691</v>
      </c>
      <c r="AJ52" s="39">
        <f>AI52*0.014</f>
        <v>0.52545354251796972</v>
      </c>
      <c r="AK52" s="19"/>
      <c r="AL52" s="5">
        <f t="shared" si="2"/>
        <v>0.53789839557348196</v>
      </c>
      <c r="AM52" s="39"/>
      <c r="AN52" s="22">
        <v>8.174883366599742</v>
      </c>
      <c r="AP52" s="19">
        <f t="shared" si="3"/>
        <v>38.421313969534431</v>
      </c>
      <c r="AQ52" s="39">
        <f t="shared" si="4"/>
        <v>0.53789839557348207</v>
      </c>
    </row>
    <row r="53" spans="1:43" s="38" customFormat="1" hidden="1">
      <c r="A53" s="45">
        <v>3</v>
      </c>
      <c r="B53" s="47" t="s">
        <v>44</v>
      </c>
      <c r="C53" s="45" t="s">
        <v>0</v>
      </c>
      <c r="D53" s="62">
        <v>38517</v>
      </c>
      <c r="E53" s="63"/>
      <c r="F53" s="64"/>
      <c r="G53" s="19"/>
      <c r="H53" s="19">
        <f t="shared" si="5"/>
        <v>0</v>
      </c>
      <c r="I53" s="19"/>
      <c r="J53" s="21">
        <v>2.8</v>
      </c>
      <c r="K53" s="21">
        <v>20.8</v>
      </c>
      <c r="L53" s="22">
        <v>5.1100000000000003</v>
      </c>
      <c r="M53" s="21">
        <v>70.099999999999994</v>
      </c>
      <c r="N53" s="20"/>
      <c r="O53" s="19"/>
      <c r="P53" s="40"/>
      <c r="S53" s="21">
        <v>29.5</v>
      </c>
      <c r="T53" s="22">
        <v>0.54163614074476318</v>
      </c>
      <c r="U53" s="22">
        <v>4.2934313703711933</v>
      </c>
      <c r="V53" s="19">
        <f t="shared" si="0"/>
        <v>6.0108039185196707E-2</v>
      </c>
      <c r="W53" s="22">
        <v>0.4001486620416253</v>
      </c>
      <c r="X53" s="19">
        <f t="shared" si="1"/>
        <v>5.6020812685827542E-3</v>
      </c>
      <c r="Y53" s="22">
        <v>4.693580032412819</v>
      </c>
      <c r="Z53" s="19"/>
      <c r="AA53" s="22">
        <v>48.972806035682602</v>
      </c>
      <c r="AB53" s="22">
        <v>14.265987142857149</v>
      </c>
      <c r="AC53" s="22">
        <v>0.90406091703868519</v>
      </c>
      <c r="AD53" s="22">
        <v>15.170048059895834</v>
      </c>
      <c r="AE53" s="19"/>
      <c r="AF53" s="22">
        <v>0.9404048745614263</v>
      </c>
      <c r="AG53" s="22">
        <v>91.456828868815364</v>
      </c>
      <c r="AH53" s="22">
        <v>15.989543964855566</v>
      </c>
      <c r="AI53" s="22">
        <v>64.962350000538166</v>
      </c>
      <c r="AJ53" s="39">
        <f t="shared" ref="AJ53:AJ116" si="6">AI53*0.014</f>
        <v>0.90947290000753434</v>
      </c>
      <c r="AK53" s="19"/>
      <c r="AL53" s="5">
        <f t="shared" si="2"/>
        <v>0.97518302046131389</v>
      </c>
      <c r="AM53" s="39"/>
      <c r="AN53" s="22">
        <v>5.7197896994332131</v>
      </c>
      <c r="AP53" s="19">
        <f t="shared" si="3"/>
        <v>69.655930032950991</v>
      </c>
      <c r="AQ53" s="39">
        <f t="shared" si="4"/>
        <v>0.97518302046131389</v>
      </c>
    </row>
    <row r="54" spans="1:43" s="38" customFormat="1">
      <c r="A54" s="45">
        <v>3</v>
      </c>
      <c r="B54" s="47" t="s">
        <v>43</v>
      </c>
      <c r="C54" s="45" t="s">
        <v>0</v>
      </c>
      <c r="D54" s="62">
        <v>38546</v>
      </c>
      <c r="E54" s="63"/>
      <c r="F54" s="19">
        <v>3</v>
      </c>
      <c r="G54" s="19">
        <v>1.3</v>
      </c>
      <c r="H54" s="19">
        <f t="shared" si="5"/>
        <v>1.7</v>
      </c>
      <c r="I54" s="19"/>
      <c r="J54" s="47">
        <v>0.5</v>
      </c>
      <c r="K54" s="21">
        <v>22</v>
      </c>
      <c r="L54" s="22">
        <v>6.7</v>
      </c>
      <c r="M54" s="21">
        <v>92</v>
      </c>
      <c r="N54" s="20"/>
      <c r="O54" s="19"/>
      <c r="P54" s="40"/>
      <c r="S54" s="47">
        <v>29.7</v>
      </c>
      <c r="T54" s="22">
        <v>7.3838319541693065E-2</v>
      </c>
      <c r="U54" s="22">
        <v>0.3866530735033582</v>
      </c>
      <c r="V54" s="19">
        <f t="shared" si="0"/>
        <v>5.4131430290470153E-3</v>
      </c>
      <c r="W54" s="22">
        <v>0.36750495540138745</v>
      </c>
      <c r="X54" s="19">
        <f t="shared" si="1"/>
        <v>5.145069375619424E-3</v>
      </c>
      <c r="Y54" s="22">
        <v>0.75415802890474559</v>
      </c>
      <c r="Z54" s="19"/>
      <c r="AA54" s="22">
        <v>21.492235316312126</v>
      </c>
      <c r="AB54" s="22">
        <v>14.396947857142859</v>
      </c>
      <c r="AC54" s="22">
        <v>0.4430792027529733</v>
      </c>
      <c r="AD54" s="22">
        <v>14.840027059895831</v>
      </c>
      <c r="AE54" s="19"/>
      <c r="AF54" s="22">
        <v>0.97014296530830701</v>
      </c>
      <c r="AG54" s="22">
        <v>99.379612243512867</v>
      </c>
      <c r="AH54" s="22">
        <v>16.845312276663869</v>
      </c>
      <c r="AI54" s="22">
        <v>38.337547592975994</v>
      </c>
      <c r="AJ54" s="39">
        <f t="shared" si="6"/>
        <v>0.53672566630166396</v>
      </c>
      <c r="AK54" s="19"/>
      <c r="AL54" s="5">
        <f t="shared" si="2"/>
        <v>0.54728387870633044</v>
      </c>
      <c r="AM54" s="39"/>
      <c r="AN54" s="22">
        <v>5.8995411074204505</v>
      </c>
      <c r="AP54" s="19">
        <f t="shared" si="3"/>
        <v>39.091705621880742</v>
      </c>
      <c r="AQ54" s="39">
        <f t="shared" si="4"/>
        <v>0.54728387870633044</v>
      </c>
    </row>
    <row r="55" spans="1:43" s="38" customFormat="1" hidden="1">
      <c r="A55" s="45">
        <v>3</v>
      </c>
      <c r="B55" s="47" t="s">
        <v>44</v>
      </c>
      <c r="C55" s="45" t="s">
        <v>0</v>
      </c>
      <c r="D55" s="62">
        <v>38546</v>
      </c>
      <c r="E55" s="63"/>
      <c r="F55" s="19"/>
      <c r="G55" s="19"/>
      <c r="H55" s="19">
        <f t="shared" si="5"/>
        <v>0</v>
      </c>
      <c r="I55" s="19"/>
      <c r="J55" s="47">
        <v>1.5</v>
      </c>
      <c r="K55" s="21">
        <v>22</v>
      </c>
      <c r="L55" s="22">
        <v>6.6</v>
      </c>
      <c r="M55" s="21">
        <v>93</v>
      </c>
      <c r="N55" s="20"/>
      <c r="O55" s="19"/>
      <c r="P55" s="40"/>
      <c r="S55" s="47">
        <v>29.1</v>
      </c>
      <c r="T55" s="22">
        <v>0.35741565881604076</v>
      </c>
      <c r="U55" s="22">
        <v>0.21180265400942511</v>
      </c>
      <c r="V55" s="19">
        <f t="shared" si="0"/>
        <v>2.9652371561319515E-3</v>
      </c>
      <c r="W55" s="22">
        <v>0.24324826560951435</v>
      </c>
      <c r="X55" s="19">
        <f t="shared" si="1"/>
        <v>3.4054757185332011E-3</v>
      </c>
      <c r="Y55" s="22">
        <v>0.45505091961893945</v>
      </c>
      <c r="Z55" s="19"/>
      <c r="AA55" s="22">
        <v>28.713505230113679</v>
      </c>
      <c r="AB55" s="22">
        <v>10.861008571428572</v>
      </c>
      <c r="AC55" s="22">
        <v>1.2043974884672655</v>
      </c>
      <c r="AD55" s="22">
        <v>12.065406059895837</v>
      </c>
      <c r="AE55" s="19"/>
      <c r="AF55" s="22">
        <v>0.90017762498101428</v>
      </c>
      <c r="AG55" s="22">
        <v>87.27870378881812</v>
      </c>
      <c r="AH55" s="22">
        <v>14.908400422747894</v>
      </c>
      <c r="AI55" s="22">
        <v>43.621905652861571</v>
      </c>
      <c r="AJ55" s="39">
        <f t="shared" si="6"/>
        <v>0.61070667914006205</v>
      </c>
      <c r="AK55" s="19"/>
      <c r="AL55" s="5">
        <f t="shared" si="2"/>
        <v>0.61707739201472722</v>
      </c>
      <c r="AM55" s="39"/>
      <c r="AN55" s="22">
        <v>5.854330532713921</v>
      </c>
      <c r="AP55" s="19">
        <f t="shared" si="3"/>
        <v>44.076956572480512</v>
      </c>
      <c r="AQ55" s="39">
        <f t="shared" si="4"/>
        <v>0.61707739201472722</v>
      </c>
    </row>
    <row r="56" spans="1:43" s="38" customFormat="1">
      <c r="A56" s="45">
        <v>3</v>
      </c>
      <c r="B56" s="47" t="s">
        <v>43</v>
      </c>
      <c r="C56" s="45" t="s">
        <v>0</v>
      </c>
      <c r="D56" s="62">
        <v>38559</v>
      </c>
      <c r="E56" s="63"/>
      <c r="F56" s="64"/>
      <c r="G56" s="19"/>
      <c r="H56" s="19">
        <f t="shared" si="5"/>
        <v>0</v>
      </c>
      <c r="I56" s="19"/>
      <c r="J56" s="21">
        <v>0.5</v>
      </c>
      <c r="K56" s="21">
        <v>23</v>
      </c>
      <c r="L56" s="22">
        <v>4.59</v>
      </c>
      <c r="M56" s="21">
        <v>62.7</v>
      </c>
      <c r="N56" s="20"/>
      <c r="O56" s="19"/>
      <c r="P56" s="40"/>
      <c r="S56" s="47">
        <v>29.7</v>
      </c>
      <c r="T56" s="22">
        <v>0.17499999999999999</v>
      </c>
      <c r="U56" s="22">
        <v>0.87414989463768822</v>
      </c>
      <c r="V56" s="19">
        <f t="shared" si="0"/>
        <v>1.2238098524927635E-2</v>
      </c>
      <c r="W56" s="22">
        <v>0.32117195242814661</v>
      </c>
      <c r="X56" s="19">
        <f t="shared" si="1"/>
        <v>4.4964073339940529E-3</v>
      </c>
      <c r="Y56" s="22">
        <v>1.1953218470658349</v>
      </c>
      <c r="Z56" s="19"/>
      <c r="AA56" s="22">
        <v>51.463711891151469</v>
      </c>
      <c r="AB56" s="22">
        <v>11.973679163050965</v>
      </c>
      <c r="AC56" s="22">
        <v>1.1784308093609024</v>
      </c>
      <c r="AD56" s="22">
        <v>13.152109972411868</v>
      </c>
      <c r="AE56" s="19"/>
      <c r="AF56" s="22">
        <v>0.91039986649801419</v>
      </c>
      <c r="AG56" s="22">
        <v>78.014222141486968</v>
      </c>
      <c r="AH56" s="22">
        <v>12.442634449519868</v>
      </c>
      <c r="AI56" s="22">
        <v>63.906346340671334</v>
      </c>
      <c r="AJ56" s="39">
        <f t="shared" si="6"/>
        <v>0.89468884876939869</v>
      </c>
      <c r="AK56" s="19"/>
      <c r="AL56" s="5">
        <f t="shared" si="2"/>
        <v>0.91142335462832047</v>
      </c>
      <c r="AM56" s="39"/>
      <c r="AN56" s="22">
        <v>6.2699119272524602</v>
      </c>
      <c r="AP56" s="19">
        <f t="shared" si="3"/>
        <v>65.101668187737175</v>
      </c>
      <c r="AQ56" s="39">
        <f t="shared" si="4"/>
        <v>0.91142335462832047</v>
      </c>
    </row>
    <row r="57" spans="1:43" s="38" customFormat="1" hidden="1">
      <c r="A57" s="45">
        <v>3</v>
      </c>
      <c r="B57" s="47" t="s">
        <v>44</v>
      </c>
      <c r="C57" s="45" t="s">
        <v>0</v>
      </c>
      <c r="D57" s="62">
        <v>38559</v>
      </c>
      <c r="E57" s="63"/>
      <c r="F57" s="64">
        <v>2.6</v>
      </c>
      <c r="G57" s="19">
        <v>1.3</v>
      </c>
      <c r="H57" s="19">
        <f t="shared" si="5"/>
        <v>1.3</v>
      </c>
      <c r="I57" s="19"/>
      <c r="J57" s="21">
        <v>1.3</v>
      </c>
      <c r="K57" s="21">
        <v>23</v>
      </c>
      <c r="L57" s="22">
        <v>4.8499999999999996</v>
      </c>
      <c r="M57" s="21">
        <v>67</v>
      </c>
      <c r="N57" s="20"/>
      <c r="O57" s="19"/>
      <c r="P57" s="40"/>
      <c r="S57" s="47">
        <v>29.8</v>
      </c>
      <c r="T57" s="22">
        <v>0.3</v>
      </c>
      <c r="U57" s="22">
        <v>1.6500793770021893</v>
      </c>
      <c r="V57" s="19">
        <f t="shared" si="0"/>
        <v>2.3101111278030651E-2</v>
      </c>
      <c r="W57" s="22">
        <v>0.18217294350842414</v>
      </c>
      <c r="X57" s="19">
        <f t="shared" si="1"/>
        <v>2.550421209117938E-3</v>
      </c>
      <c r="Y57" s="22">
        <v>1.8322523205106134</v>
      </c>
      <c r="Z57" s="19"/>
      <c r="AA57" s="22">
        <v>14.175281844670609</v>
      </c>
      <c r="AB57" s="22">
        <v>14.662954696998241</v>
      </c>
      <c r="AC57" s="22">
        <v>2.3647534868658568</v>
      </c>
      <c r="AD57" s="22">
        <v>17.0277081838641</v>
      </c>
      <c r="AE57" s="19"/>
      <c r="AF57" s="22">
        <v>0.86112320804823517</v>
      </c>
      <c r="AG57" s="22">
        <v>100.61227069001643</v>
      </c>
      <c r="AH57" s="22">
        <v>17.035281636578425</v>
      </c>
      <c r="AI57" s="22">
        <v>31.210563481249032</v>
      </c>
      <c r="AJ57" s="39">
        <f t="shared" si="6"/>
        <v>0.43694788873748647</v>
      </c>
      <c r="AK57" s="19"/>
      <c r="AL57" s="5">
        <f t="shared" si="2"/>
        <v>0.46259942122463504</v>
      </c>
      <c r="AM57" s="39"/>
      <c r="AN57" s="22">
        <v>5.9061113773417269</v>
      </c>
      <c r="AP57" s="19">
        <f t="shared" si="3"/>
        <v>33.042815801759645</v>
      </c>
      <c r="AQ57" s="39">
        <f t="shared" si="4"/>
        <v>0.46259942122463504</v>
      </c>
    </row>
    <row r="58" spans="1:43" s="38" customFormat="1">
      <c r="A58" s="45">
        <v>3</v>
      </c>
      <c r="B58" s="47" t="s">
        <v>43</v>
      </c>
      <c r="C58" s="45" t="s">
        <v>0</v>
      </c>
      <c r="D58" s="62">
        <v>38574</v>
      </c>
      <c r="E58" s="63"/>
      <c r="F58" s="64">
        <v>2.6</v>
      </c>
      <c r="G58" s="19">
        <v>1.6</v>
      </c>
      <c r="H58" s="19">
        <f t="shared" si="5"/>
        <v>1</v>
      </c>
      <c r="I58" s="19"/>
      <c r="J58" s="21">
        <v>0.5</v>
      </c>
      <c r="K58" s="21">
        <v>25</v>
      </c>
      <c r="L58" s="22">
        <v>4.3</v>
      </c>
      <c r="M58" s="21">
        <v>61.3</v>
      </c>
      <c r="N58" s="20"/>
      <c r="O58" s="19"/>
      <c r="P58" s="40"/>
      <c r="S58" s="21">
        <v>29.5</v>
      </c>
      <c r="T58" s="22">
        <v>0.87126442953020133</v>
      </c>
      <c r="U58" s="22">
        <v>3.106020543884108</v>
      </c>
      <c r="V58" s="19">
        <f t="shared" si="0"/>
        <v>4.3484287614377511E-2</v>
      </c>
      <c r="W58" s="22">
        <v>1.0846134786917738</v>
      </c>
      <c r="X58" s="19">
        <f t="shared" si="1"/>
        <v>1.5184588701684834E-2</v>
      </c>
      <c r="Y58" s="22">
        <v>4.1906340225758818</v>
      </c>
      <c r="Z58" s="19"/>
      <c r="AA58" s="22">
        <v>32.405135436722986</v>
      </c>
      <c r="AB58" s="22">
        <v>13.190256190312827</v>
      </c>
      <c r="AC58" s="22">
        <v>5.3092700826511656</v>
      </c>
      <c r="AD58" s="22">
        <v>18.49952627296399</v>
      </c>
      <c r="AE58" s="19"/>
      <c r="AF58" s="22">
        <v>0.71300507892408238</v>
      </c>
      <c r="AG58" s="22">
        <v>98.888452531816384</v>
      </c>
      <c r="AH58" s="22">
        <v>17.232542914436667</v>
      </c>
      <c r="AI58" s="22">
        <v>49.63767835115965</v>
      </c>
      <c r="AJ58" s="39">
        <f t="shared" si="6"/>
        <v>0.69492749691623512</v>
      </c>
      <c r="AK58" s="19"/>
      <c r="AL58" s="5">
        <f t="shared" si="2"/>
        <v>0.75359637323229745</v>
      </c>
      <c r="AM58" s="39"/>
      <c r="AN58" s="22">
        <v>5.7384712762834313</v>
      </c>
      <c r="AP58" s="19">
        <f t="shared" si="3"/>
        <v>53.828312373735528</v>
      </c>
      <c r="AQ58" s="39">
        <f t="shared" si="4"/>
        <v>0.75359637323229745</v>
      </c>
    </row>
    <row r="59" spans="1:43" s="38" customFormat="1" hidden="1">
      <c r="A59" s="45">
        <v>3</v>
      </c>
      <c r="B59" s="47" t="s">
        <v>44</v>
      </c>
      <c r="C59" s="45" t="s">
        <v>0</v>
      </c>
      <c r="D59" s="62">
        <v>38574</v>
      </c>
      <c r="E59" s="63"/>
      <c r="F59" s="64"/>
      <c r="G59" s="19"/>
      <c r="H59" s="19">
        <f t="shared" si="5"/>
        <v>0</v>
      </c>
      <c r="I59" s="19"/>
      <c r="J59" s="21">
        <v>2.1</v>
      </c>
      <c r="K59" s="21">
        <v>25</v>
      </c>
      <c r="L59" s="22">
        <v>3.87</v>
      </c>
      <c r="M59" s="21">
        <v>54</v>
      </c>
      <c r="N59" s="20"/>
      <c r="O59" s="19"/>
      <c r="P59" s="40"/>
      <c r="S59" s="21">
        <v>29.8</v>
      </c>
      <c r="T59" s="22">
        <v>0.84550067114093963</v>
      </c>
      <c r="U59" s="22">
        <v>2.6344887265035335</v>
      </c>
      <c r="V59" s="19">
        <f t="shared" si="0"/>
        <v>3.6882842171049472E-2</v>
      </c>
      <c r="W59" s="22">
        <v>0.61180599999999996</v>
      </c>
      <c r="X59" s="19">
        <f t="shared" si="1"/>
        <v>8.5652839999999994E-3</v>
      </c>
      <c r="Y59" s="22">
        <v>3.2462947265035336</v>
      </c>
      <c r="Z59" s="19"/>
      <c r="AA59" s="22">
        <v>18.376215273496463</v>
      </c>
      <c r="AB59" s="22">
        <v>10.264868667521966</v>
      </c>
      <c r="AC59" s="22">
        <v>5.2285117786704269</v>
      </c>
      <c r="AD59" s="22">
        <v>15.493380446192393</v>
      </c>
      <c r="AE59" s="19"/>
      <c r="AF59" s="22">
        <v>0.66253253789069833</v>
      </c>
      <c r="AG59" s="22">
        <v>98.888452531816384</v>
      </c>
      <c r="AH59" s="22">
        <v>17.232542914436667</v>
      </c>
      <c r="AI59" s="22">
        <v>35.608758187933134</v>
      </c>
      <c r="AJ59" s="39">
        <f t="shared" si="6"/>
        <v>0.4985226146310639</v>
      </c>
      <c r="AK59" s="19"/>
      <c r="AL59" s="5">
        <f t="shared" si="2"/>
        <v>0.54397074080211338</v>
      </c>
      <c r="AM59" s="39"/>
      <c r="AN59" s="22">
        <v>5.7384712762834313</v>
      </c>
      <c r="AP59" s="19">
        <f t="shared" si="3"/>
        <v>38.855052914436669</v>
      </c>
      <c r="AQ59" s="39">
        <f t="shared" si="4"/>
        <v>0.54397074080211338</v>
      </c>
    </row>
    <row r="60" spans="1:43" s="38" customFormat="1" hidden="1">
      <c r="A60" s="45">
        <v>3</v>
      </c>
      <c r="B60" s="45" t="s">
        <v>44</v>
      </c>
      <c r="C60" s="45" t="s">
        <v>0</v>
      </c>
      <c r="D60" s="62">
        <v>38588</v>
      </c>
      <c r="E60" s="63"/>
      <c r="F60" s="64">
        <v>2.25</v>
      </c>
      <c r="G60" s="19">
        <v>1.42</v>
      </c>
      <c r="H60" s="19">
        <f t="shared" si="5"/>
        <v>0.83000000000000007</v>
      </c>
      <c r="I60" s="19"/>
      <c r="J60" s="47">
        <v>1</v>
      </c>
      <c r="K60" s="21">
        <v>24</v>
      </c>
      <c r="L60" s="22">
        <v>7.32</v>
      </c>
      <c r="M60" s="21">
        <v>89.9</v>
      </c>
      <c r="N60" s="20"/>
      <c r="O60" s="19"/>
      <c r="P60" s="40"/>
      <c r="S60" s="21">
        <v>31.2</v>
      </c>
      <c r="T60" s="22">
        <v>0.94404337626598689</v>
      </c>
      <c r="U60" s="22">
        <v>0.75754443145345141</v>
      </c>
      <c r="V60" s="19">
        <f t="shared" si="0"/>
        <v>1.060562204034832E-2</v>
      </c>
      <c r="W60" s="22">
        <v>0.05</v>
      </c>
      <c r="X60" s="19">
        <f t="shared" si="1"/>
        <v>7.000000000000001E-4</v>
      </c>
      <c r="Y60" s="22">
        <v>0.78254443145345143</v>
      </c>
      <c r="Z60" s="19"/>
      <c r="AA60" s="22">
        <v>14.957605568546548</v>
      </c>
      <c r="AB60" s="22">
        <v>10.645048988541298</v>
      </c>
      <c r="AC60" s="22">
        <v>1.2966468797073343</v>
      </c>
      <c r="AD60" s="22">
        <v>11.941695868248631</v>
      </c>
      <c r="AE60" s="19"/>
      <c r="AF60" s="22">
        <v>0.89141853100153523</v>
      </c>
      <c r="AG60" s="22">
        <v>79.421297436527851</v>
      </c>
      <c r="AH60" s="22">
        <v>13.50903857592373</v>
      </c>
      <c r="AI60" s="22">
        <v>28.46664414447028</v>
      </c>
      <c r="AJ60" s="39">
        <f t="shared" si="6"/>
        <v>0.39853301802258395</v>
      </c>
      <c r="AK60" s="19"/>
      <c r="AL60" s="5">
        <f t="shared" si="2"/>
        <v>0.40948864006293223</v>
      </c>
      <c r="AM60" s="39"/>
      <c r="AN60" s="22">
        <v>5.8791228546845069</v>
      </c>
      <c r="AP60" s="19">
        <f t="shared" si="3"/>
        <v>29.249188575923732</v>
      </c>
      <c r="AQ60" s="39">
        <f t="shared" si="4"/>
        <v>0.40948864006293223</v>
      </c>
    </row>
    <row r="61" spans="1:43" s="38" customFormat="1" hidden="1">
      <c r="A61" s="45">
        <v>3</v>
      </c>
      <c r="B61" s="45" t="s">
        <v>44</v>
      </c>
      <c r="C61" s="45" t="s">
        <v>0</v>
      </c>
      <c r="D61" s="62">
        <v>38603</v>
      </c>
      <c r="E61" s="63"/>
      <c r="F61" s="64">
        <v>2.8</v>
      </c>
      <c r="G61" s="19">
        <v>1.45</v>
      </c>
      <c r="H61" s="19">
        <f t="shared" si="5"/>
        <v>1.3499999999999999</v>
      </c>
      <c r="I61" s="16">
        <f>SUM(G52:G61)/6</f>
        <v>1.3783333333333332</v>
      </c>
      <c r="J61" s="47">
        <v>1.4</v>
      </c>
      <c r="K61" s="21">
        <v>21</v>
      </c>
      <c r="L61" s="22">
        <v>8.31</v>
      </c>
      <c r="M61" s="21">
        <v>95.7</v>
      </c>
      <c r="N61" s="17">
        <f>SUM(L52:L61)/10</f>
        <v>5.8829999999999991</v>
      </c>
      <c r="O61" s="19"/>
      <c r="P61" s="40"/>
      <c r="S61" s="21">
        <v>30.5</v>
      </c>
      <c r="T61" s="22">
        <v>0.54315956694122203</v>
      </c>
      <c r="U61" s="22">
        <v>1.8428076722379472</v>
      </c>
      <c r="V61" s="19">
        <f t="shared" si="0"/>
        <v>2.5799307411331261E-2</v>
      </c>
      <c r="W61" s="22">
        <v>0.31274777006937554</v>
      </c>
      <c r="X61" s="19">
        <f t="shared" si="1"/>
        <v>4.3784687809712581E-3</v>
      </c>
      <c r="Y61" s="22">
        <v>2.1555554423073229</v>
      </c>
      <c r="Z61" s="16">
        <f>SUM(Y52:Y61)/10</f>
        <v>2.0194309846746883</v>
      </c>
      <c r="AA61" s="22">
        <v>25.824644557692679</v>
      </c>
      <c r="AB61" s="22">
        <v>14.222224321266971</v>
      </c>
      <c r="AC61" s="22">
        <v>0.46052072203660022</v>
      </c>
      <c r="AD61" s="22">
        <v>14.682745043303571</v>
      </c>
      <c r="AE61" s="16">
        <f>SUM(AD52:AD61)/10</f>
        <v>15.619119268095782</v>
      </c>
      <c r="AF61" s="22">
        <v>0.96863524356798447</v>
      </c>
      <c r="AG61" s="22">
        <v>110.91644084448764</v>
      </c>
      <c r="AH61" s="22">
        <v>17.470393112343931</v>
      </c>
      <c r="AI61" s="22">
        <v>43.295037670036606</v>
      </c>
      <c r="AJ61" s="39">
        <f t="shared" si="6"/>
        <v>0.60613052738051254</v>
      </c>
      <c r="AK61" s="16">
        <f>SUM(AJ52:AJ61)/10</f>
        <v>0.61121091824245111</v>
      </c>
      <c r="AL61" s="5">
        <f t="shared" si="2"/>
        <v>0.63630830357281509</v>
      </c>
      <c r="AM61" s="5">
        <f>SUM(AL52:AL61)/10</f>
        <v>0.63948295202789673</v>
      </c>
      <c r="AN61" s="22">
        <v>6.3488234140603392</v>
      </c>
      <c r="AP61" s="19">
        <f t="shared" si="3"/>
        <v>45.450593112343931</v>
      </c>
      <c r="AQ61" s="39">
        <f t="shared" si="4"/>
        <v>0.63630830357281509</v>
      </c>
    </row>
    <row r="62" spans="1:43" s="38" customFormat="1">
      <c r="A62" s="38">
        <v>3</v>
      </c>
      <c r="B62" s="38" t="s">
        <v>43</v>
      </c>
      <c r="C62" s="45" t="s">
        <v>0</v>
      </c>
      <c r="D62" s="36">
        <v>38888</v>
      </c>
      <c r="E62" s="63"/>
      <c r="F62" s="19" t="s">
        <v>47</v>
      </c>
      <c r="G62" s="19">
        <v>1.4</v>
      </c>
      <c r="H62" s="19"/>
      <c r="I62" s="16"/>
      <c r="J62" s="38">
        <v>3.6</v>
      </c>
      <c r="K62" s="20">
        <v>21.5</v>
      </c>
      <c r="L62" s="22">
        <v>5.9</v>
      </c>
      <c r="M62" s="21">
        <v>79</v>
      </c>
      <c r="N62" s="17"/>
      <c r="O62" s="19" t="s">
        <v>51</v>
      </c>
      <c r="P62" s="40">
        <v>2</v>
      </c>
      <c r="Q62" s="38" t="s">
        <v>53</v>
      </c>
      <c r="R62" s="38" t="s">
        <v>49</v>
      </c>
      <c r="S62" s="20">
        <v>29.3</v>
      </c>
      <c r="T62" s="29">
        <v>0.3</v>
      </c>
      <c r="U62" s="20">
        <v>1.0700064301163277</v>
      </c>
      <c r="V62" s="19">
        <f t="shared" si="0"/>
        <v>1.4980090021628588E-2</v>
      </c>
      <c r="W62" s="22">
        <v>0.10920000000000001</v>
      </c>
      <c r="X62" s="19">
        <f t="shared" si="1"/>
        <v>1.5288000000000001E-3</v>
      </c>
      <c r="Y62" s="19">
        <v>1.1792064301163276</v>
      </c>
      <c r="Z62" s="16"/>
      <c r="AA62" s="19">
        <v>26.947293569883673</v>
      </c>
      <c r="AB62" s="19">
        <v>12.505889277108432</v>
      </c>
      <c r="AC62" s="19">
        <v>2.8109808291415677</v>
      </c>
      <c r="AD62" s="19">
        <v>15.316870106250001</v>
      </c>
      <c r="AE62" s="16"/>
      <c r="AF62" s="19">
        <v>0.81647811794169645</v>
      </c>
      <c r="AG62" s="19">
        <v>95.047517116450862</v>
      </c>
      <c r="AH62" s="19">
        <v>16.048996248858717</v>
      </c>
      <c r="AI62" s="19">
        <v>42.99628981874239</v>
      </c>
      <c r="AJ62" s="39">
        <f t="shared" si="6"/>
        <v>0.60194805746239344</v>
      </c>
      <c r="AK62" s="16"/>
      <c r="AL62" s="5">
        <f t="shared" si="2"/>
        <v>0.61845694748402213</v>
      </c>
      <c r="AM62" s="5"/>
      <c r="AN62" s="19">
        <v>5.9223340601883381</v>
      </c>
      <c r="AP62" s="19">
        <f t="shared" si="3"/>
        <v>44.175496248858721</v>
      </c>
      <c r="AQ62" s="39">
        <f t="shared" si="4"/>
        <v>0.61845694748402213</v>
      </c>
    </row>
    <row r="63" spans="1:43" s="38" customFormat="1" hidden="1">
      <c r="A63" s="38">
        <v>3</v>
      </c>
      <c r="B63" s="38" t="s">
        <v>44</v>
      </c>
      <c r="C63" s="45" t="s">
        <v>0</v>
      </c>
      <c r="D63" s="36">
        <v>38888</v>
      </c>
      <c r="E63" s="63"/>
      <c r="F63" s="19" t="s">
        <v>47</v>
      </c>
      <c r="G63" s="19"/>
      <c r="H63" s="19" t="e">
        <f t="shared" si="5"/>
        <v>#VALUE!</v>
      </c>
      <c r="I63" s="16"/>
      <c r="J63" s="38" t="s">
        <v>47</v>
      </c>
      <c r="K63" s="20">
        <v>21.5</v>
      </c>
      <c r="L63" s="22">
        <v>5.55</v>
      </c>
      <c r="M63" s="21">
        <v>78.5</v>
      </c>
      <c r="N63" s="17"/>
      <c r="O63" s="19"/>
      <c r="P63" s="40"/>
      <c r="S63" s="20">
        <v>29.5</v>
      </c>
      <c r="T63" s="29">
        <v>0.2</v>
      </c>
      <c r="U63" s="20">
        <v>2.1273708618304403</v>
      </c>
      <c r="V63" s="19">
        <f t="shared" si="0"/>
        <v>2.9783192065626164E-2</v>
      </c>
      <c r="W63" s="22">
        <v>0.24772497472194135</v>
      </c>
      <c r="X63" s="19">
        <f t="shared" si="1"/>
        <v>3.4681496461071788E-3</v>
      </c>
      <c r="Y63" s="19">
        <v>2.3750958365523815</v>
      </c>
      <c r="Z63" s="16"/>
      <c r="AA63" s="19">
        <v>57.873604163447617</v>
      </c>
      <c r="AB63" s="19">
        <v>6.6138956024096371</v>
      </c>
      <c r="AC63" s="19">
        <v>4.9081767038403603</v>
      </c>
      <c r="AD63" s="19">
        <v>11.522072306249997</v>
      </c>
      <c r="AE63" s="16"/>
      <c r="AF63" s="19">
        <v>0.5740196230865533</v>
      </c>
      <c r="AG63" s="19">
        <v>97.869886522801323</v>
      </c>
      <c r="AH63" s="19">
        <v>13.782623877654251</v>
      </c>
      <c r="AI63" s="19">
        <v>71.656228041101869</v>
      </c>
      <c r="AJ63" s="39">
        <f t="shared" si="6"/>
        <v>1.0031871925754261</v>
      </c>
      <c r="AK63" s="16"/>
      <c r="AL63" s="5">
        <f t="shared" si="2"/>
        <v>1.0364385342871594</v>
      </c>
      <c r="AM63" s="5"/>
      <c r="AN63" s="19">
        <v>7.1009618626738877</v>
      </c>
      <c r="AP63" s="19">
        <f t="shared" si="3"/>
        <v>74.031323877654245</v>
      </c>
      <c r="AQ63" s="39">
        <f t="shared" si="4"/>
        <v>1.0364385342871594</v>
      </c>
    </row>
    <row r="64" spans="1:43" s="38" customFormat="1">
      <c r="A64" s="38">
        <v>3</v>
      </c>
      <c r="B64" s="38" t="s">
        <v>43</v>
      </c>
      <c r="C64" s="45" t="s">
        <v>0</v>
      </c>
      <c r="D64" s="36">
        <v>38903</v>
      </c>
      <c r="E64" s="63"/>
      <c r="F64" s="19">
        <v>3</v>
      </c>
      <c r="G64" s="19">
        <v>1.2</v>
      </c>
      <c r="H64" s="19">
        <f t="shared" si="5"/>
        <v>1.8</v>
      </c>
      <c r="I64" s="16"/>
      <c r="J64" s="38">
        <v>0.5</v>
      </c>
      <c r="K64" s="20">
        <v>23.9</v>
      </c>
      <c r="L64" s="22">
        <f>(4.89+5.3)/2</f>
        <v>5.0949999999999998</v>
      </c>
      <c r="M64" s="21">
        <f>(67.3+68.6)/2</f>
        <v>67.949999999999989</v>
      </c>
      <c r="N64" s="17"/>
      <c r="O64" s="19" t="s">
        <v>51</v>
      </c>
      <c r="P64" s="40">
        <v>1</v>
      </c>
      <c r="Q64" s="38" t="s">
        <v>53</v>
      </c>
      <c r="R64" s="38" t="s">
        <v>57</v>
      </c>
      <c r="S64" s="20">
        <v>28.3</v>
      </c>
      <c r="T64" s="29">
        <v>0.4</v>
      </c>
      <c r="U64" s="20">
        <v>2.5644925630460835</v>
      </c>
      <c r="V64" s="19">
        <f t="shared" si="0"/>
        <v>3.5902895882645169E-2</v>
      </c>
      <c r="W64" s="22">
        <v>0.50960566228513648</v>
      </c>
      <c r="X64" s="19">
        <f t="shared" si="1"/>
        <v>7.1344792719919108E-3</v>
      </c>
      <c r="Y64" s="19">
        <v>3.0740982253312201</v>
      </c>
      <c r="Z64" s="16"/>
      <c r="AA64" s="19">
        <v>44.462780544857537</v>
      </c>
      <c r="AB64" s="19">
        <v>11.876933227848101</v>
      </c>
      <c r="AC64" s="19">
        <v>12.136513904964403</v>
      </c>
      <c r="AD64" s="19">
        <v>24.013447132812502</v>
      </c>
      <c r="AE64" s="16"/>
      <c r="AF64" s="19">
        <v>0.49459509757843961</v>
      </c>
      <c r="AG64" s="19">
        <v>115.14514031212576</v>
      </c>
      <c r="AH64" s="19">
        <v>21.02379040727584</v>
      </c>
      <c r="AI64" s="19">
        <v>65.486570952133377</v>
      </c>
      <c r="AJ64" s="39">
        <f t="shared" si="6"/>
        <v>0.91681199332986729</v>
      </c>
      <c r="AK64" s="16"/>
      <c r="AL64" s="5">
        <f t="shared" si="2"/>
        <v>0.95984936848450442</v>
      </c>
      <c r="AM64" s="5"/>
      <c r="AN64" s="19">
        <v>5.4768972712112243</v>
      </c>
      <c r="AP64" s="19">
        <f t="shared" si="3"/>
        <v>68.560669177464604</v>
      </c>
      <c r="AQ64" s="39">
        <f t="shared" si="4"/>
        <v>0.95984936848450442</v>
      </c>
    </row>
    <row r="65" spans="1:43" s="38" customFormat="1" hidden="1">
      <c r="A65" s="38">
        <v>3</v>
      </c>
      <c r="B65" s="38" t="s">
        <v>44</v>
      </c>
      <c r="C65" s="45" t="s">
        <v>0</v>
      </c>
      <c r="D65" s="36">
        <v>38903</v>
      </c>
      <c r="E65" s="63"/>
      <c r="F65" s="19"/>
      <c r="G65" s="19"/>
      <c r="H65" s="19">
        <f t="shared" si="5"/>
        <v>0</v>
      </c>
      <c r="I65" s="16"/>
      <c r="J65" s="38">
        <v>2.5</v>
      </c>
      <c r="K65" s="20">
        <v>23.9</v>
      </c>
      <c r="L65" s="22">
        <f>(3.33+3.88)/2</f>
        <v>3.605</v>
      </c>
      <c r="M65" s="21">
        <f>(46.7+49.9)/2</f>
        <v>48.3</v>
      </c>
      <c r="N65" s="17"/>
      <c r="O65" s="19"/>
      <c r="P65" s="40"/>
      <c r="S65" s="20">
        <v>28.7</v>
      </c>
      <c r="T65" s="29">
        <v>0.66279318457261005</v>
      </c>
      <c r="U65" s="20">
        <v>4.6134902545220768</v>
      </c>
      <c r="V65" s="19">
        <f t="shared" si="0"/>
        <v>6.4588863563309076E-2</v>
      </c>
      <c r="W65" s="22">
        <v>0.28564000000000001</v>
      </c>
      <c r="X65" s="19">
        <f t="shared" si="1"/>
        <v>3.9989600000000002E-3</v>
      </c>
      <c r="Y65" s="19">
        <v>4.8991302545220767</v>
      </c>
      <c r="Z65" s="16"/>
      <c r="AA65" s="19">
        <v>31.837982024131357</v>
      </c>
      <c r="AB65" s="19">
        <v>3.4374797468354426</v>
      </c>
      <c r="AC65" s="19">
        <v>9.535972335977057</v>
      </c>
      <c r="AD65" s="19">
        <v>12.9734520828125</v>
      </c>
      <c r="AE65" s="16"/>
      <c r="AF65" s="19">
        <v>0.26496261171608193</v>
      </c>
      <c r="AG65" s="19">
        <v>88.350133510071473</v>
      </c>
      <c r="AH65" s="19">
        <v>13.946865021307532</v>
      </c>
      <c r="AI65" s="19">
        <v>45.784847045438887</v>
      </c>
      <c r="AJ65" s="39">
        <f t="shared" si="6"/>
        <v>0.64098785863614449</v>
      </c>
      <c r="AK65" s="16"/>
      <c r="AL65" s="5">
        <f t="shared" si="2"/>
        <v>0.70957568219945355</v>
      </c>
      <c r="AM65" s="5"/>
      <c r="AN65" s="19">
        <v>6.3347665138433067</v>
      </c>
      <c r="AP65" s="19">
        <f t="shared" si="3"/>
        <v>50.683977299960965</v>
      </c>
      <c r="AQ65" s="39">
        <f t="shared" si="4"/>
        <v>0.70957568219945355</v>
      </c>
    </row>
    <row r="66" spans="1:43" s="38" customFormat="1">
      <c r="A66" s="38">
        <v>3</v>
      </c>
      <c r="B66" s="38" t="s">
        <v>43</v>
      </c>
      <c r="C66" s="45" t="s">
        <v>0</v>
      </c>
      <c r="D66" s="36">
        <v>38917</v>
      </c>
      <c r="E66" s="65">
        <v>0.31666666666666665</v>
      </c>
      <c r="F66" s="19">
        <v>3.4</v>
      </c>
      <c r="G66" s="19">
        <v>1.3</v>
      </c>
      <c r="H66" s="19">
        <f t="shared" si="5"/>
        <v>2.0999999999999996</v>
      </c>
      <c r="I66" s="16"/>
      <c r="K66" s="20">
        <v>25.6</v>
      </c>
      <c r="L66" s="22">
        <f>(5.05+5.5)/2</f>
        <v>5.2750000000000004</v>
      </c>
      <c r="M66" s="21">
        <f>(47+79)/2</f>
        <v>63</v>
      </c>
      <c r="N66" s="17"/>
      <c r="O66" s="19" t="s">
        <v>55</v>
      </c>
      <c r="P66" s="40">
        <v>1</v>
      </c>
      <c r="Q66" s="38" t="s">
        <v>52</v>
      </c>
      <c r="R66" s="38" t="s">
        <v>49</v>
      </c>
      <c r="S66" s="20">
        <v>28.8</v>
      </c>
      <c r="T66" s="29">
        <v>0.59270484859796979</v>
      </c>
      <c r="U66" s="20">
        <v>1.9487669779007701</v>
      </c>
      <c r="V66" s="19">
        <f t="shared" si="0"/>
        <v>2.7282737690610782E-2</v>
      </c>
      <c r="W66" s="22">
        <v>0.75935288169868553</v>
      </c>
      <c r="X66" s="19">
        <f t="shared" si="1"/>
        <v>1.0630940343781597E-2</v>
      </c>
      <c r="Y66" s="19">
        <v>2.7081198595994556</v>
      </c>
      <c r="Z66" s="16"/>
      <c r="AA66" s="19">
        <v>49.524753305500347</v>
      </c>
      <c r="AB66" s="19">
        <v>14.373813291139243</v>
      </c>
      <c r="AC66" s="19">
        <v>4.5607787401107576</v>
      </c>
      <c r="AD66" s="19">
        <v>18.934592031249998</v>
      </c>
      <c r="AE66" s="16"/>
      <c r="AF66" s="19">
        <v>0.75912981211406283</v>
      </c>
      <c r="AG66" s="19">
        <v>118.1915708347764</v>
      </c>
      <c r="AH66" s="19">
        <v>18.83549724680147</v>
      </c>
      <c r="AI66" s="19">
        <v>68.360250552301821</v>
      </c>
      <c r="AJ66" s="39">
        <f t="shared" si="6"/>
        <v>0.95704350773222546</v>
      </c>
      <c r="AK66" s="16"/>
      <c r="AL66" s="5">
        <f t="shared" si="2"/>
        <v>0.99495718576661785</v>
      </c>
      <c r="AM66" s="5"/>
      <c r="AN66" s="19">
        <v>6.2749376502309744</v>
      </c>
      <c r="AP66" s="19">
        <f t="shared" si="3"/>
        <v>71.06837041190127</v>
      </c>
      <c r="AQ66" s="39">
        <f t="shared" si="4"/>
        <v>0.99495718576661785</v>
      </c>
    </row>
    <row r="67" spans="1:43" s="38" customFormat="1" hidden="1">
      <c r="A67" s="38">
        <v>3</v>
      </c>
      <c r="B67" s="38" t="s">
        <v>44</v>
      </c>
      <c r="C67" s="45" t="s">
        <v>0</v>
      </c>
      <c r="D67" s="36">
        <v>38917</v>
      </c>
      <c r="E67" s="66"/>
      <c r="F67" s="19"/>
      <c r="G67" s="19"/>
      <c r="H67" s="19">
        <f t="shared" si="5"/>
        <v>0</v>
      </c>
      <c r="I67" s="16"/>
      <c r="K67" s="20">
        <v>25.6</v>
      </c>
      <c r="L67" s="22">
        <f>(4.12+4.51)/2</f>
        <v>4.3149999999999995</v>
      </c>
      <c r="M67" s="21">
        <f>(54.1+64.5)/2</f>
        <v>59.3</v>
      </c>
      <c r="N67" s="17"/>
      <c r="O67" s="19"/>
      <c r="P67" s="40"/>
      <c r="S67" s="20">
        <v>29.2</v>
      </c>
      <c r="T67" s="29">
        <v>0.48613619721747614</v>
      </c>
      <c r="U67" s="20">
        <v>2.5324120569957502</v>
      </c>
      <c r="V67" s="19">
        <f t="shared" si="0"/>
        <v>3.5453768797940502E-2</v>
      </c>
      <c r="W67" s="22">
        <v>0.21031344792719919</v>
      </c>
      <c r="X67" s="19">
        <f t="shared" si="1"/>
        <v>2.9443882709807886E-3</v>
      </c>
      <c r="Y67" s="19">
        <v>2.7427255049229493</v>
      </c>
      <c r="Z67" s="16"/>
      <c r="AA67" s="19">
        <v>27.281018414127452</v>
      </c>
      <c r="AB67" s="19">
        <v>9.6710981012658248</v>
      </c>
      <c r="AC67" s="19">
        <v>4.6524539299841789</v>
      </c>
      <c r="AD67" s="19">
        <v>14.323552031250003</v>
      </c>
      <c r="AE67" s="16"/>
      <c r="AF67" s="19">
        <v>0.67518853425227077</v>
      </c>
      <c r="AG67" s="19">
        <v>130.95849546693842</v>
      </c>
      <c r="AH67" s="19">
        <v>22.401728163881458</v>
      </c>
      <c r="AI67" s="19">
        <v>49.68274657800891</v>
      </c>
      <c r="AJ67" s="39">
        <f t="shared" si="6"/>
        <v>0.69555845209212475</v>
      </c>
      <c r="AK67" s="16"/>
      <c r="AL67" s="5">
        <f t="shared" si="2"/>
        <v>0.7339566091610461</v>
      </c>
      <c r="AM67" s="5"/>
      <c r="AN67" s="19">
        <v>5.8459103917743356</v>
      </c>
      <c r="AP67" s="19">
        <f t="shared" si="3"/>
        <v>52.425472082931861</v>
      </c>
      <c r="AQ67" s="39">
        <f t="shared" si="4"/>
        <v>0.7339566091610461</v>
      </c>
    </row>
    <row r="68" spans="1:43" s="38" customFormat="1">
      <c r="A68" s="38">
        <v>3</v>
      </c>
      <c r="B68" s="38" t="s">
        <v>43</v>
      </c>
      <c r="C68" s="45" t="s">
        <v>0</v>
      </c>
      <c r="D68" s="36">
        <v>38931</v>
      </c>
      <c r="E68" s="65">
        <v>0.31597222222222221</v>
      </c>
      <c r="F68" s="19">
        <v>3.5</v>
      </c>
      <c r="G68" s="19">
        <v>1.4</v>
      </c>
      <c r="H68" s="19">
        <f t="shared" si="5"/>
        <v>2.1</v>
      </c>
      <c r="I68" s="16"/>
      <c r="K68" s="20">
        <v>26.6</v>
      </c>
      <c r="L68" s="22">
        <f>(3.25+3.48)/2</f>
        <v>3.3650000000000002</v>
      </c>
      <c r="M68" s="21">
        <f>(52.6+61.3)/2</f>
        <v>56.95</v>
      </c>
      <c r="N68" s="17"/>
      <c r="O68" s="19" t="s">
        <v>49</v>
      </c>
      <c r="P68" s="40">
        <v>0</v>
      </c>
      <c r="Q68" s="38" t="s">
        <v>54</v>
      </c>
      <c r="R68" s="38" t="s">
        <v>49</v>
      </c>
      <c r="S68" s="20">
        <v>29.7</v>
      </c>
      <c r="T68" s="29">
        <v>0.56686268104105431</v>
      </c>
      <c r="U68" s="20">
        <v>1.7953342953342966</v>
      </c>
      <c r="V68" s="19">
        <f t="shared" si="0"/>
        <v>2.5134680134680152E-2</v>
      </c>
      <c r="W68" s="22">
        <v>0.84378635129895296</v>
      </c>
      <c r="X68" s="19">
        <f t="shared" si="1"/>
        <v>1.1813008918185342E-2</v>
      </c>
      <c r="Y68" s="19">
        <v>2.6391206466332493</v>
      </c>
      <c r="Z68" s="16"/>
      <c r="AA68" s="19">
        <v>28.872724586670568</v>
      </c>
      <c r="AB68" s="19">
        <v>11.480300949367088</v>
      </c>
      <c r="AC68" s="19">
        <v>8.9506312334454083</v>
      </c>
      <c r="AD68" s="19">
        <v>20.430932182812498</v>
      </c>
      <c r="AE68" s="16"/>
      <c r="AF68" s="19">
        <v>0.56190783889072271</v>
      </c>
      <c r="AG68" s="19">
        <v>112.37268650260499</v>
      </c>
      <c r="AH68" s="19">
        <v>18.625581600289319</v>
      </c>
      <c r="AI68" s="19">
        <v>47.498306186959887</v>
      </c>
      <c r="AJ68" s="39">
        <f t="shared" si="6"/>
        <v>0.66497628661743846</v>
      </c>
      <c r="AK68" s="16"/>
      <c r="AL68" s="5">
        <f t="shared" si="2"/>
        <v>0.70192397567030396</v>
      </c>
      <c r="AM68" s="5"/>
      <c r="AN68" s="19">
        <v>6.0332444330683055</v>
      </c>
      <c r="AP68" s="19">
        <f t="shared" si="3"/>
        <v>50.137426833593139</v>
      </c>
      <c r="AQ68" s="39">
        <f t="shared" si="4"/>
        <v>0.70192397567030396</v>
      </c>
    </row>
    <row r="69" spans="1:43" s="38" customFormat="1" hidden="1">
      <c r="A69" s="38">
        <v>3</v>
      </c>
      <c r="B69" s="38" t="s">
        <v>44</v>
      </c>
      <c r="C69" s="45" t="s">
        <v>0</v>
      </c>
      <c r="D69" s="36">
        <v>38931</v>
      </c>
      <c r="E69" s="66"/>
      <c r="F69" s="19">
        <v>3.1</v>
      </c>
      <c r="G69" s="19"/>
      <c r="H69" s="19">
        <f t="shared" si="5"/>
        <v>3.1</v>
      </c>
      <c r="I69" s="16"/>
      <c r="K69" s="20">
        <v>26.5</v>
      </c>
      <c r="L69" s="22">
        <f>(1.8+1.9)/2</f>
        <v>1.85</v>
      </c>
      <c r="M69" s="21">
        <f>(28+36.3)/2</f>
        <v>32.15</v>
      </c>
      <c r="N69" s="17"/>
      <c r="O69" s="19"/>
      <c r="P69" s="40"/>
      <c r="S69" s="20">
        <v>30.3</v>
      </c>
      <c r="T69" s="29">
        <v>0.93008820646847445</v>
      </c>
      <c r="U69" s="20">
        <v>2.6833814333814345</v>
      </c>
      <c r="V69" s="19">
        <f t="shared" si="0"/>
        <v>3.7567340067340083E-2</v>
      </c>
      <c r="W69" s="22">
        <v>0.96999806126405574</v>
      </c>
      <c r="X69" s="19">
        <f t="shared" si="1"/>
        <v>1.3579972857696781E-2</v>
      </c>
      <c r="Y69" s="19">
        <v>3.6533794946454901</v>
      </c>
      <c r="Z69" s="16"/>
      <c r="AA69" s="19">
        <v>46.640160981353326</v>
      </c>
      <c r="AB69" s="19">
        <v>7.2936268987341775</v>
      </c>
      <c r="AC69" s="19">
        <v>8.381507984078322</v>
      </c>
      <c r="AD69" s="19">
        <v>15.6751348828125</v>
      </c>
      <c r="AE69" s="16"/>
      <c r="AF69" s="19">
        <v>0.46529914755192991</v>
      </c>
      <c r="AG69" s="19">
        <v>122.45678358364867</v>
      </c>
      <c r="AH69" s="19">
        <v>22.464298555085605</v>
      </c>
      <c r="AI69" s="19">
        <v>69.104459536438924</v>
      </c>
      <c r="AJ69" s="39">
        <f t="shared" si="6"/>
        <v>0.96746243351014494</v>
      </c>
      <c r="AK69" s="16"/>
      <c r="AL69" s="5">
        <f t="shared" si="2"/>
        <v>1.0186097464351818</v>
      </c>
      <c r="AM69" s="5"/>
      <c r="AN69" s="19">
        <v>5.4511732598000995</v>
      </c>
      <c r="AP69" s="19">
        <f t="shared" si="3"/>
        <v>72.757839031084416</v>
      </c>
      <c r="AQ69" s="39">
        <f t="shared" si="4"/>
        <v>1.0186097464351818</v>
      </c>
    </row>
    <row r="70" spans="1:43" s="38" customFormat="1">
      <c r="A70" s="38">
        <v>3</v>
      </c>
      <c r="B70" s="38" t="s">
        <v>43</v>
      </c>
      <c r="C70" s="45" t="s">
        <v>0</v>
      </c>
      <c r="D70" s="36">
        <v>38945</v>
      </c>
      <c r="E70" s="65">
        <v>0.34861111111111115</v>
      </c>
      <c r="F70" s="19">
        <v>3</v>
      </c>
      <c r="G70" s="19">
        <v>1.5</v>
      </c>
      <c r="H70" s="19">
        <f t="shared" si="5"/>
        <v>1.5</v>
      </c>
      <c r="I70" s="16"/>
      <c r="K70" s="20">
        <v>22.8</v>
      </c>
      <c r="L70" s="22">
        <f>(3.95+4.15)/2</f>
        <v>4.0500000000000007</v>
      </c>
      <c r="M70" s="21">
        <f>(50.9+55.9)/2</f>
        <v>53.4</v>
      </c>
      <c r="N70" s="17"/>
      <c r="O70" s="19" t="s">
        <v>49</v>
      </c>
      <c r="P70" s="40">
        <v>0</v>
      </c>
      <c r="R70" s="38" t="s">
        <v>49</v>
      </c>
      <c r="S70" s="20">
        <v>29.3</v>
      </c>
      <c r="T70" s="29">
        <v>0.98710685680797039</v>
      </c>
      <c r="U70" s="20">
        <v>7.4905817977259961</v>
      </c>
      <c r="V70" s="19">
        <f t="shared" ref="V70:V89" si="7">U70*0.014</f>
        <v>0.10486814516816395</v>
      </c>
      <c r="W70" s="22">
        <v>1.6582406471183013</v>
      </c>
      <c r="X70" s="19">
        <f t="shared" ref="X70:X93" si="8">W70*0.014</f>
        <v>2.3215369059656221E-2</v>
      </c>
      <c r="Y70" s="19">
        <v>9.1488224448442974</v>
      </c>
      <c r="Z70" s="16"/>
      <c r="AA70" s="19">
        <v>59.695703727562787</v>
      </c>
      <c r="AB70" s="19">
        <v>9.9645221518987359</v>
      </c>
      <c r="AC70" s="19">
        <v>7.2158698793512652</v>
      </c>
      <c r="AD70" s="19">
        <v>17.180392031250001</v>
      </c>
      <c r="AE70" s="16"/>
      <c r="AF70" s="19">
        <v>0.57999387521390233</v>
      </c>
      <c r="AG70" s="19">
        <v>82.570893369568097</v>
      </c>
      <c r="AH70" s="19">
        <v>13.621011831074139</v>
      </c>
      <c r="AI70" s="19">
        <v>73.316715558636929</v>
      </c>
      <c r="AJ70" s="39">
        <f t="shared" si="6"/>
        <v>1.026434017820917</v>
      </c>
      <c r="AK70" s="16"/>
      <c r="AL70" s="5">
        <f t="shared" si="2"/>
        <v>1.1545175320487373</v>
      </c>
      <c r="AM70" s="5"/>
      <c r="AN70" s="19">
        <v>6.062023467389988</v>
      </c>
      <c r="AP70" s="19">
        <f t="shared" ref="AP70:AP116" si="9">Y70+AI70</f>
        <v>82.465538003481228</v>
      </c>
      <c r="AQ70" s="39">
        <f t="shared" ref="AQ70:AQ116" si="10">AP70*0.014</f>
        <v>1.1545175320487373</v>
      </c>
    </row>
    <row r="71" spans="1:43" s="38" customFormat="1" hidden="1">
      <c r="A71" s="38">
        <v>3</v>
      </c>
      <c r="B71" s="38" t="s">
        <v>44</v>
      </c>
      <c r="C71" s="45" t="s">
        <v>0</v>
      </c>
      <c r="D71" s="36">
        <v>38945</v>
      </c>
      <c r="E71" s="66"/>
      <c r="F71" s="19"/>
      <c r="G71" s="19"/>
      <c r="H71" s="19">
        <f t="shared" si="5"/>
        <v>0</v>
      </c>
      <c r="I71" s="16"/>
      <c r="K71" s="20">
        <v>22.7</v>
      </c>
      <c r="L71" s="22">
        <f>(3.98+4.09)/2</f>
        <v>4.0350000000000001</v>
      </c>
      <c r="M71" s="21">
        <f>(49.6+54.1)/2</f>
        <v>51.85</v>
      </c>
      <c r="N71" s="17"/>
      <c r="O71" s="19"/>
      <c r="P71" s="40"/>
      <c r="S71" s="20">
        <v>30.4</v>
      </c>
      <c r="T71" s="29">
        <v>1.3497102298626034</v>
      </c>
      <c r="U71" s="20">
        <v>9.2605219644409615</v>
      </c>
      <c r="V71" s="19">
        <f t="shared" si="7"/>
        <v>0.12964730750217346</v>
      </c>
      <c r="W71" s="22">
        <v>1.0212335692618808</v>
      </c>
      <c r="X71" s="19">
        <f t="shared" si="8"/>
        <v>1.4297269969666331E-2</v>
      </c>
      <c r="Y71" s="19">
        <v>10.281755533702842</v>
      </c>
      <c r="Z71" s="16"/>
      <c r="AA71" s="19">
        <v>62.941054351488823</v>
      </c>
      <c r="AB71" s="19">
        <v>6.3839556962025323</v>
      </c>
      <c r="AC71" s="19">
        <v>7.1940613350474685</v>
      </c>
      <c r="AD71" s="19">
        <v>13.578017031250001</v>
      </c>
      <c r="AE71" s="16"/>
      <c r="AF71" s="19">
        <v>0.47016848494958924</v>
      </c>
      <c r="AG71" s="19">
        <v>96.36158337643684</v>
      </c>
      <c r="AH71" s="19">
        <v>14.450858598512216</v>
      </c>
      <c r="AI71" s="19">
        <v>77.391912950001043</v>
      </c>
      <c r="AJ71" s="39">
        <f t="shared" si="6"/>
        <v>1.0834867813000146</v>
      </c>
      <c r="AK71" s="16"/>
      <c r="AL71" s="5">
        <f t="shared" si="2"/>
        <v>1.2274313587718544</v>
      </c>
      <c r="AM71" s="5"/>
      <c r="AN71" s="19">
        <v>6.6682254704476671</v>
      </c>
      <c r="AP71" s="19">
        <f t="shared" si="9"/>
        <v>87.673668483703892</v>
      </c>
      <c r="AQ71" s="39">
        <f t="shared" si="10"/>
        <v>1.2274313587718546</v>
      </c>
    </row>
    <row r="72" spans="1:43" s="38" customFormat="1">
      <c r="A72" s="38">
        <v>3</v>
      </c>
      <c r="B72" s="38" t="s">
        <v>43</v>
      </c>
      <c r="C72" s="45" t="s">
        <v>0</v>
      </c>
      <c r="D72" s="36">
        <v>38973</v>
      </c>
      <c r="E72" s="65">
        <v>0.31597222222222221</v>
      </c>
      <c r="F72" s="19">
        <v>2.8</v>
      </c>
      <c r="G72" s="19">
        <v>1.8</v>
      </c>
      <c r="H72" s="19">
        <f t="shared" si="5"/>
        <v>0.99999999999999978</v>
      </c>
      <c r="I72" s="16"/>
      <c r="K72" s="20">
        <v>18.2</v>
      </c>
      <c r="L72" s="22">
        <f>(7.36+7.55)/2</f>
        <v>7.4550000000000001</v>
      </c>
      <c r="M72" s="21">
        <f>(95.3+96.3)/2</f>
        <v>95.8</v>
      </c>
      <c r="N72" s="17"/>
      <c r="O72" s="19" t="s">
        <v>49</v>
      </c>
      <c r="P72" s="40">
        <v>0</v>
      </c>
      <c r="Q72" s="38" t="s">
        <v>52</v>
      </c>
      <c r="R72" s="38" t="s">
        <v>49</v>
      </c>
      <c r="S72" s="20">
        <v>31.5</v>
      </c>
      <c r="T72" s="29">
        <v>0.78393607793420972</v>
      </c>
      <c r="U72" s="20">
        <v>1.119264038117163</v>
      </c>
      <c r="V72" s="19">
        <f t="shared" si="7"/>
        <v>1.5669696533640282E-2</v>
      </c>
      <c r="W72" s="22">
        <v>0.10717896865520728</v>
      </c>
      <c r="X72" s="19">
        <f t="shared" si="8"/>
        <v>1.5005055611729018E-3</v>
      </c>
      <c r="Y72" s="19">
        <v>1.2264430067723704</v>
      </c>
      <c r="Z72" s="16"/>
      <c r="AA72" s="19">
        <v>19.048356993227628</v>
      </c>
      <c r="AB72" s="19">
        <v>14.236583734177209</v>
      </c>
      <c r="AC72" s="19">
        <v>3.4315640918644541</v>
      </c>
      <c r="AD72" s="19">
        <v>17.668147826041665</v>
      </c>
      <c r="AE72" s="16"/>
      <c r="AF72" s="19">
        <v>0.80577680662109019</v>
      </c>
      <c r="AG72" s="19">
        <v>87.21053364976953</v>
      </c>
      <c r="AH72" s="19">
        <v>13.47803478309017</v>
      </c>
      <c r="AI72" s="19">
        <v>32.526391776317794</v>
      </c>
      <c r="AJ72" s="39">
        <f t="shared" si="6"/>
        <v>0.45536948486844914</v>
      </c>
      <c r="AK72" s="16"/>
      <c r="AL72" s="5">
        <f t="shared" si="2"/>
        <v>0.47253968696326232</v>
      </c>
      <c r="AM72" s="5"/>
      <c r="AN72" s="19">
        <v>6.4705674865289504</v>
      </c>
      <c r="AP72" s="19">
        <f t="shared" si="9"/>
        <v>33.752834783090165</v>
      </c>
      <c r="AQ72" s="39">
        <f t="shared" si="10"/>
        <v>0.47253968696326232</v>
      </c>
    </row>
    <row r="73" spans="1:43" s="38" customFormat="1" hidden="1">
      <c r="A73" s="38">
        <v>3</v>
      </c>
      <c r="B73" s="38" t="s">
        <v>44</v>
      </c>
      <c r="C73" s="45" t="s">
        <v>0</v>
      </c>
      <c r="D73" s="36">
        <v>38973</v>
      </c>
      <c r="E73" s="66"/>
      <c r="F73" s="19"/>
      <c r="G73" s="19"/>
      <c r="H73" s="19">
        <f t="shared" si="5"/>
        <v>0</v>
      </c>
      <c r="I73" s="16">
        <f>SUM(G62:G73)/6</f>
        <v>1.4333333333333333</v>
      </c>
      <c r="K73" s="20">
        <v>18.100000000000001</v>
      </c>
      <c r="L73" s="22">
        <f>(7.03+7.31)/2</f>
        <v>7.17</v>
      </c>
      <c r="M73" s="21">
        <f>(93.2+96.1)/2</f>
        <v>94.65</v>
      </c>
      <c r="N73" s="17">
        <f>SUM(L62:L73)/12</f>
        <v>4.805416666666666</v>
      </c>
      <c r="O73" s="19"/>
      <c r="P73" s="40"/>
      <c r="S73" s="20">
        <v>31.6</v>
      </c>
      <c r="T73" s="29">
        <v>0.88881141433686994</v>
      </c>
      <c r="U73" s="20">
        <v>1.0764581734458916</v>
      </c>
      <c r="V73" s="19">
        <f t="shared" si="7"/>
        <v>1.5070414428242482E-2</v>
      </c>
      <c r="W73" s="22">
        <v>0.46208291203235596</v>
      </c>
      <c r="X73" s="19">
        <f t="shared" si="8"/>
        <v>6.4691607684529834E-3</v>
      </c>
      <c r="Y73" s="19">
        <v>1.5385410854782475</v>
      </c>
      <c r="Z73" s="16">
        <f>SUM(Y62:Y73)/12</f>
        <v>3.7888698602600761</v>
      </c>
      <c r="AA73" s="19">
        <v>37.241770259141319</v>
      </c>
      <c r="AB73" s="19">
        <v>14.980317405063285</v>
      </c>
      <c r="AC73" s="19">
        <v>3.3054251709783844</v>
      </c>
      <c r="AD73" s="19">
        <v>18.28574257604167</v>
      </c>
      <c r="AE73" s="16">
        <f>SUM(AD62:AD73)/12</f>
        <v>16.65852935173611</v>
      </c>
      <c r="AF73" s="19">
        <v>0.81923484062882868</v>
      </c>
      <c r="AG73" s="50">
        <v>0</v>
      </c>
      <c r="AH73" s="50">
        <v>0</v>
      </c>
      <c r="AI73" s="50">
        <v>0</v>
      </c>
      <c r="AJ73" s="39">
        <f t="shared" si="6"/>
        <v>0</v>
      </c>
      <c r="AK73" s="16">
        <f>SUM(AJ62:AJ73)/12</f>
        <v>0.75110550549542887</v>
      </c>
      <c r="AL73" s="5">
        <f t="shared" si="2"/>
        <v>0.54292435882467394</v>
      </c>
      <c r="AM73" s="16">
        <f>SUM(AL62:AL73)/12</f>
        <v>0.84759841550806814</v>
      </c>
      <c r="AN73" s="50" t="s">
        <v>47</v>
      </c>
      <c r="AP73" s="19">
        <f t="shared" si="9"/>
        <v>1.5385410854782475</v>
      </c>
      <c r="AQ73" s="39">
        <f t="shared" si="10"/>
        <v>2.1539575196695467E-2</v>
      </c>
    </row>
    <row r="74" spans="1:43" s="38" customFormat="1">
      <c r="A74" s="38">
        <v>3</v>
      </c>
      <c r="B74" s="38" t="s">
        <v>43</v>
      </c>
      <c r="C74" s="45" t="s">
        <v>0</v>
      </c>
      <c r="D74" s="36">
        <v>39254</v>
      </c>
      <c r="E74" s="67"/>
      <c r="F74" s="64">
        <v>3.4</v>
      </c>
      <c r="G74" s="19">
        <v>1.45</v>
      </c>
      <c r="H74" s="19">
        <f t="shared" si="5"/>
        <v>1.95</v>
      </c>
      <c r="I74" s="16"/>
      <c r="J74" s="47"/>
      <c r="K74" s="21">
        <v>20.3</v>
      </c>
      <c r="L74" s="22">
        <f>(6.35+6.52)/2</f>
        <v>6.4349999999999996</v>
      </c>
      <c r="M74" s="21"/>
      <c r="N74" s="17"/>
      <c r="O74" s="19" t="s">
        <v>49</v>
      </c>
      <c r="P74" s="40">
        <v>2</v>
      </c>
      <c r="Q74" s="38" t="s">
        <v>54</v>
      </c>
      <c r="R74" s="38" t="s">
        <v>49</v>
      </c>
      <c r="S74" s="20">
        <v>30.8</v>
      </c>
      <c r="T74" s="20">
        <v>0.59527445196367645</v>
      </c>
      <c r="U74" s="21">
        <v>2.1294019005030735</v>
      </c>
      <c r="V74" s="19">
        <f t="shared" si="7"/>
        <v>2.9811626607043031E-2</v>
      </c>
      <c r="W74" s="22">
        <v>0.19816919826979176</v>
      </c>
      <c r="X74" s="19">
        <f t="shared" si="8"/>
        <v>2.7743687757770846E-3</v>
      </c>
      <c r="Y74" s="22">
        <v>2.3275710987728653</v>
      </c>
      <c r="Z74" s="16"/>
      <c r="AA74" s="22">
        <v>55.032023945387778</v>
      </c>
      <c r="AB74" s="19">
        <v>19.137683037974679</v>
      </c>
      <c r="AC74" s="19">
        <v>1.9256288286919898</v>
      </c>
      <c r="AD74" s="19">
        <v>21.06331186666667</v>
      </c>
      <c r="AE74" s="16"/>
      <c r="AF74" s="19">
        <v>0.90857900975490202</v>
      </c>
      <c r="AG74" s="19">
        <v>91.625076513894484</v>
      </c>
      <c r="AH74" s="19">
        <v>14.957010583961999</v>
      </c>
      <c r="AI74" s="19">
        <v>69.98903452934978</v>
      </c>
      <c r="AJ74" s="39">
        <f t="shared" si="6"/>
        <v>0.97984648341089697</v>
      </c>
      <c r="AK74" s="16"/>
      <c r="AL74" s="5">
        <f t="shared" si="2"/>
        <v>1.0124324787937171</v>
      </c>
      <c r="AM74" s="5"/>
      <c r="AN74" s="19">
        <v>6.1258950108748067</v>
      </c>
      <c r="AP74" s="19">
        <f t="shared" si="9"/>
        <v>72.316605628122645</v>
      </c>
      <c r="AQ74" s="39">
        <f t="shared" si="10"/>
        <v>1.0124324787937171</v>
      </c>
    </row>
    <row r="75" spans="1:43" s="38" customFormat="1" hidden="1">
      <c r="A75" s="38">
        <v>3</v>
      </c>
      <c r="B75" s="38" t="s">
        <v>44</v>
      </c>
      <c r="C75" s="45" t="s">
        <v>0</v>
      </c>
      <c r="D75" s="36">
        <v>39254</v>
      </c>
      <c r="E75" s="67"/>
      <c r="F75" s="64"/>
      <c r="G75" s="19"/>
      <c r="H75" s="19">
        <f t="shared" si="5"/>
        <v>0</v>
      </c>
      <c r="I75" s="16"/>
      <c r="J75" s="47"/>
      <c r="K75" s="21">
        <v>20.399999999999999</v>
      </c>
      <c r="L75" s="22">
        <f>(5.46+5.9)/2</f>
        <v>5.68</v>
      </c>
      <c r="M75" s="21"/>
      <c r="N75" s="17"/>
      <c r="O75" s="19"/>
      <c r="P75" s="40"/>
      <c r="S75" s="20">
        <v>31</v>
      </c>
      <c r="T75" s="20">
        <v>1.0498270576667246</v>
      </c>
      <c r="U75" s="21">
        <v>14.002792490754466</v>
      </c>
      <c r="V75" s="19">
        <f t="shared" si="7"/>
        <v>0.19603909487056254</v>
      </c>
      <c r="W75" s="22">
        <v>0.67095865607081784</v>
      </c>
      <c r="X75" s="19">
        <f t="shared" si="8"/>
        <v>9.39342118499145E-3</v>
      </c>
      <c r="Y75" s="22">
        <v>14.673751146825284</v>
      </c>
      <c r="Z75" s="16"/>
      <c r="AA75" s="22">
        <v>124.44796107268905</v>
      </c>
      <c r="AB75" s="19">
        <v>15.082041518987339</v>
      </c>
      <c r="AC75" s="19">
        <v>4.0437743476793298</v>
      </c>
      <c r="AD75" s="19">
        <v>19.12581586666667</v>
      </c>
      <c r="AE75" s="16"/>
      <c r="AF75" s="19">
        <v>0.78856983796821956</v>
      </c>
      <c r="AG75" s="19">
        <v>112.0845522964504</v>
      </c>
      <c r="AH75" s="19">
        <v>17.638974301441124</v>
      </c>
      <c r="AI75" s="19">
        <v>142.08693537413018</v>
      </c>
      <c r="AJ75" s="39">
        <f t="shared" si="6"/>
        <v>1.9892170952378225</v>
      </c>
      <c r="AK75" s="16"/>
      <c r="AL75" s="5">
        <f t="shared" si="2"/>
        <v>2.1946496112933764</v>
      </c>
      <c r="AM75" s="5"/>
      <c r="AN75" s="19">
        <v>6.3543690455568589</v>
      </c>
      <c r="AP75" s="19">
        <f t="shared" si="9"/>
        <v>156.76068652095546</v>
      </c>
      <c r="AQ75" s="39">
        <f t="shared" si="10"/>
        <v>2.1946496112933764</v>
      </c>
    </row>
    <row r="76" spans="1:43" s="38" customFormat="1">
      <c r="A76" s="38">
        <v>3</v>
      </c>
      <c r="B76" s="38" t="s">
        <v>43</v>
      </c>
      <c r="C76" s="45" t="s">
        <v>0</v>
      </c>
      <c r="D76" s="36">
        <v>39282</v>
      </c>
      <c r="E76" s="67">
        <v>0.33333333333333331</v>
      </c>
      <c r="F76" s="64">
        <v>3.5</v>
      </c>
      <c r="G76" s="19">
        <v>1.54</v>
      </c>
      <c r="H76" s="19">
        <f t="shared" si="5"/>
        <v>1.96</v>
      </c>
      <c r="I76" s="16"/>
      <c r="J76" s="47"/>
      <c r="K76" s="21">
        <v>24.3</v>
      </c>
      <c r="L76" s="22">
        <f>(3.6+4.24)/2</f>
        <v>3.92</v>
      </c>
      <c r="M76" s="21"/>
      <c r="N76" s="17"/>
      <c r="O76" s="19" t="s">
        <v>51</v>
      </c>
      <c r="P76" s="40">
        <v>0</v>
      </c>
      <c r="Q76" s="38" t="s">
        <v>53</v>
      </c>
      <c r="R76" s="38" t="s">
        <v>49</v>
      </c>
      <c r="S76" s="20">
        <v>29.2</v>
      </c>
      <c r="T76" s="20">
        <v>0.94343434343434351</v>
      </c>
      <c r="U76" s="21">
        <v>2.7951231032650412</v>
      </c>
      <c r="V76" s="19">
        <f t="shared" si="7"/>
        <v>3.913172344571058E-2</v>
      </c>
      <c r="W76" s="22">
        <v>1.4686651242329745</v>
      </c>
      <c r="X76" s="19">
        <f t="shared" si="8"/>
        <v>2.0561311739261644E-2</v>
      </c>
      <c r="Y76" s="22">
        <v>4.2637882274980159</v>
      </c>
      <c r="Z76" s="16"/>
      <c r="AA76" s="22">
        <v>67.39870815006357</v>
      </c>
      <c r="AB76" s="19">
        <v>16.68914430379747</v>
      </c>
      <c r="AC76" s="19">
        <v>12.514801162869199</v>
      </c>
      <c r="AD76" s="19">
        <v>29.203945466666667</v>
      </c>
      <c r="AE76" s="16"/>
      <c r="AF76" s="19">
        <v>0.57146882166474489</v>
      </c>
      <c r="AG76" s="19">
        <v>95.128372816121384</v>
      </c>
      <c r="AH76" s="19">
        <v>15.795175933483915</v>
      </c>
      <c r="AI76" s="19">
        <v>83.193884083547488</v>
      </c>
      <c r="AJ76" s="39">
        <f t="shared" si="6"/>
        <v>1.1647143771696649</v>
      </c>
      <c r="AK76" s="16"/>
      <c r="AL76" s="5">
        <f t="shared" si="2"/>
        <v>1.2244074123546369</v>
      </c>
      <c r="AM76" s="5"/>
      <c r="AN76" s="19">
        <v>6.0226219205612281</v>
      </c>
      <c r="AP76" s="19">
        <f t="shared" si="9"/>
        <v>87.457672311045499</v>
      </c>
      <c r="AQ76" s="39">
        <f t="shared" si="10"/>
        <v>1.2244074123546369</v>
      </c>
    </row>
    <row r="77" spans="1:43" s="38" customFormat="1" hidden="1">
      <c r="A77" s="38">
        <v>3</v>
      </c>
      <c r="B77" s="38" t="s">
        <v>44</v>
      </c>
      <c r="C77" s="45" t="s">
        <v>0</v>
      </c>
      <c r="D77" s="36">
        <v>39282</v>
      </c>
      <c r="E77" s="67"/>
      <c r="F77" s="64"/>
      <c r="G77" s="19"/>
      <c r="H77" s="19">
        <f t="shared" si="5"/>
        <v>0</v>
      </c>
      <c r="I77" s="16"/>
      <c r="J77" s="47"/>
      <c r="K77" s="21">
        <v>24.4</v>
      </c>
      <c r="L77" s="22">
        <f>(2.82+3.21)/2</f>
        <v>3.0149999999999997</v>
      </c>
      <c r="M77" s="21"/>
      <c r="N77" s="17"/>
      <c r="O77" s="19"/>
      <c r="P77" s="40"/>
      <c r="S77" s="20">
        <v>29.9</v>
      </c>
      <c r="T77" s="20">
        <v>1.3562901744719924</v>
      </c>
      <c r="U77" s="21">
        <v>9.2853452372731979</v>
      </c>
      <c r="V77" s="19">
        <f t="shared" si="7"/>
        <v>0.12999483332182477</v>
      </c>
      <c r="W77" s="22">
        <v>0.89930590483854744</v>
      </c>
      <c r="X77" s="19">
        <f t="shared" si="8"/>
        <v>1.2590282667739665E-2</v>
      </c>
      <c r="Y77" s="22">
        <v>10.184651142111745</v>
      </c>
      <c r="Z77" s="16"/>
      <c r="AA77" s="22">
        <v>111.62704289807425</v>
      </c>
      <c r="AB77" s="19">
        <v>9.674519493670882</v>
      </c>
      <c r="AC77" s="19">
        <v>10.427920372995784</v>
      </c>
      <c r="AD77" s="19">
        <v>20.102439866666664</v>
      </c>
      <c r="AE77" s="16"/>
      <c r="AF77" s="19">
        <v>0.48126095925862789</v>
      </c>
      <c r="AG77" s="19">
        <v>202.71053095552216</v>
      </c>
      <c r="AH77" s="19">
        <v>25.895204900333034</v>
      </c>
      <c r="AI77" s="19">
        <v>137.52224779840728</v>
      </c>
      <c r="AJ77" s="39">
        <f t="shared" si="6"/>
        <v>1.925311469177702</v>
      </c>
      <c r="AK77" s="16"/>
      <c r="AL77" s="5">
        <f t="shared" si="2"/>
        <v>2.0678965851672664</v>
      </c>
      <c r="AM77" s="5"/>
      <c r="AN77" s="19">
        <v>7.8281107153129774</v>
      </c>
      <c r="AP77" s="19">
        <f t="shared" si="9"/>
        <v>147.70689894051901</v>
      </c>
      <c r="AQ77" s="39">
        <f t="shared" si="10"/>
        <v>2.0678965851672664</v>
      </c>
    </row>
    <row r="78" spans="1:43" s="38" customFormat="1">
      <c r="A78" s="38">
        <v>3</v>
      </c>
      <c r="B78" s="38" t="s">
        <v>43</v>
      </c>
      <c r="C78" s="45" t="s">
        <v>0</v>
      </c>
      <c r="D78" s="36">
        <v>39301</v>
      </c>
      <c r="E78" s="67">
        <v>0.36458333333333331</v>
      </c>
      <c r="F78" s="64">
        <v>3</v>
      </c>
      <c r="G78" s="19">
        <v>1.1000000000000001</v>
      </c>
      <c r="H78" s="19">
        <f t="shared" si="5"/>
        <v>1.9</v>
      </c>
      <c r="I78" s="16"/>
      <c r="J78" s="47"/>
      <c r="K78" s="21">
        <v>25</v>
      </c>
      <c r="L78" s="22">
        <f>(4.77+5.1)/2</f>
        <v>4.9349999999999996</v>
      </c>
      <c r="M78" s="21"/>
      <c r="N78" s="17"/>
      <c r="O78" s="19" t="s">
        <v>51</v>
      </c>
      <c r="P78" s="40">
        <v>3</v>
      </c>
      <c r="Q78" s="38" t="s">
        <v>53</v>
      </c>
      <c r="R78" s="38" t="s">
        <v>49</v>
      </c>
      <c r="S78" s="20">
        <v>30</v>
      </c>
      <c r="T78" s="20">
        <v>0.59138331704121327</v>
      </c>
      <c r="U78" s="21">
        <v>0.88545962485033902</v>
      </c>
      <c r="V78" s="19">
        <f t="shared" si="7"/>
        <v>1.2396434747904746E-2</v>
      </c>
      <c r="W78" s="22">
        <v>0.10662911175938034</v>
      </c>
      <c r="X78" s="19">
        <f t="shared" si="8"/>
        <v>1.4928075646313246E-3</v>
      </c>
      <c r="Y78" s="22">
        <v>0.9920887366097193</v>
      </c>
      <c r="Z78" s="16"/>
      <c r="AA78" s="22">
        <v>26.989063563390282</v>
      </c>
      <c r="AB78" s="19">
        <v>14.58318664556962</v>
      </c>
      <c r="AC78" s="19">
        <v>0.49210189661788012</v>
      </c>
      <c r="AD78" s="19">
        <v>15.075288542187501</v>
      </c>
      <c r="AE78" s="16"/>
      <c r="AF78" s="19">
        <v>0.96735704956885193</v>
      </c>
      <c r="AG78" s="19">
        <v>125.17823007092946</v>
      </c>
      <c r="AH78" s="19">
        <v>19.737327505460698</v>
      </c>
      <c r="AI78" s="19">
        <v>46.72639106885098</v>
      </c>
      <c r="AJ78" s="39">
        <f t="shared" si="6"/>
        <v>0.65416947496391376</v>
      </c>
      <c r="AK78" s="16"/>
      <c r="AL78" s="5">
        <f t="shared" si="2"/>
        <v>0.66805871727644983</v>
      </c>
      <c r="AM78" s="5"/>
      <c r="AN78" s="19">
        <v>6.3422076791448374</v>
      </c>
      <c r="AP78" s="19">
        <f t="shared" si="9"/>
        <v>47.718479805460696</v>
      </c>
      <c r="AQ78" s="39">
        <f t="shared" si="10"/>
        <v>0.66805871727644972</v>
      </c>
    </row>
    <row r="79" spans="1:43" s="38" customFormat="1" hidden="1">
      <c r="A79" s="38">
        <v>3</v>
      </c>
      <c r="B79" s="38" t="s">
        <v>44</v>
      </c>
      <c r="C79" s="45" t="s">
        <v>0</v>
      </c>
      <c r="D79" s="36">
        <v>39301</v>
      </c>
      <c r="E79" s="67"/>
      <c r="F79" s="64"/>
      <c r="G79" s="19"/>
      <c r="H79" s="19">
        <f t="shared" si="5"/>
        <v>0</v>
      </c>
      <c r="I79" s="16"/>
      <c r="J79" s="47"/>
      <c r="K79" s="21">
        <v>24.9</v>
      </c>
      <c r="L79" s="22">
        <f>(3.46+3.8)/2</f>
        <v>3.63</v>
      </c>
      <c r="M79" s="21"/>
      <c r="N79" s="17"/>
      <c r="O79" s="19"/>
      <c r="P79" s="40"/>
      <c r="S79" s="20">
        <v>30.4</v>
      </c>
      <c r="T79" s="20">
        <v>0.59138331704121327</v>
      </c>
      <c r="U79" s="21">
        <v>1.9568596894657824</v>
      </c>
      <c r="V79" s="19">
        <f t="shared" si="7"/>
        <v>2.7396035652520953E-2</v>
      </c>
      <c r="W79" s="22">
        <v>0.74338597726586852</v>
      </c>
      <c r="X79" s="19">
        <f t="shared" si="8"/>
        <v>1.0407403681722159E-2</v>
      </c>
      <c r="Y79" s="22">
        <v>2.700245666731651</v>
      </c>
      <c r="Z79" s="16"/>
      <c r="AA79" s="22">
        <v>51.227563308041965</v>
      </c>
      <c r="AB79" s="19">
        <v>15.250901962025315</v>
      </c>
      <c r="AC79" s="19" t="s">
        <v>60</v>
      </c>
      <c r="AD79" s="19">
        <v>15.275901962025316</v>
      </c>
      <c r="AE79" s="16"/>
      <c r="AF79" s="19">
        <v>1</v>
      </c>
      <c r="AG79" s="19">
        <v>122.41720751381469</v>
      </c>
      <c r="AH79" s="19">
        <v>19.471279203106288</v>
      </c>
      <c r="AI79" s="19">
        <v>70.698842511148257</v>
      </c>
      <c r="AJ79" s="39">
        <f t="shared" si="6"/>
        <v>0.98978379515607562</v>
      </c>
      <c r="AK79" s="16"/>
      <c r="AL79" s="5">
        <f t="shared" si="2"/>
        <v>1.0275872344903187</v>
      </c>
      <c r="AM79" s="5"/>
      <c r="AN79" s="19">
        <v>6.2870654894766878</v>
      </c>
      <c r="AP79" s="19">
        <f t="shared" si="9"/>
        <v>73.399088177879904</v>
      </c>
      <c r="AQ79" s="39">
        <f t="shared" si="10"/>
        <v>1.0275872344903187</v>
      </c>
    </row>
    <row r="80" spans="1:43" s="38" customFormat="1">
      <c r="A80" s="38">
        <v>3</v>
      </c>
      <c r="B80" s="38" t="s">
        <v>43</v>
      </c>
      <c r="C80" s="45" t="s">
        <v>0</v>
      </c>
      <c r="D80" s="36">
        <v>39315</v>
      </c>
      <c r="E80" s="67">
        <v>0.33333333333333331</v>
      </c>
      <c r="F80" s="64">
        <v>2.8</v>
      </c>
      <c r="G80" s="19">
        <v>1.4</v>
      </c>
      <c r="H80" s="19">
        <f t="shared" si="5"/>
        <v>1.4</v>
      </c>
      <c r="I80" s="16"/>
      <c r="J80" s="47"/>
      <c r="K80" s="21">
        <v>21.8</v>
      </c>
      <c r="L80" s="22">
        <f>(6.1+6.47)/2</f>
        <v>6.2850000000000001</v>
      </c>
      <c r="M80" s="21"/>
      <c r="N80" s="17"/>
      <c r="O80" s="19"/>
      <c r="P80" s="40"/>
      <c r="S80" s="20">
        <v>30.6</v>
      </c>
      <c r="T80" s="20">
        <v>0.49446494464944635</v>
      </c>
      <c r="U80" s="21">
        <v>0.89852078891258036</v>
      </c>
      <c r="V80" s="19">
        <f t="shared" si="7"/>
        <v>1.2579291044776125E-2</v>
      </c>
      <c r="W80" s="22">
        <v>0.80173020822854846</v>
      </c>
      <c r="X80" s="19">
        <f t="shared" si="8"/>
        <v>1.1224222915199679E-2</v>
      </c>
      <c r="Y80" s="22">
        <v>1.7002509971411288</v>
      </c>
      <c r="Z80" s="16"/>
      <c r="AA80" s="22">
        <v>66.832406532435101</v>
      </c>
      <c r="AB80" s="19">
        <v>5.9597143670886075</v>
      </c>
      <c r="AC80" s="19">
        <v>2.1739631250988936</v>
      </c>
      <c r="AD80" s="19">
        <v>8.1336774921875019</v>
      </c>
      <c r="AE80" s="16"/>
      <c r="AF80" s="19">
        <v>0.73272076164969502</v>
      </c>
      <c r="AG80" s="19">
        <v>72.102641156728566</v>
      </c>
      <c r="AH80" s="19">
        <v>11.284799905720336</v>
      </c>
      <c r="AI80" s="19">
        <v>78.117206438155435</v>
      </c>
      <c r="AJ80" s="39">
        <f t="shared" si="6"/>
        <v>1.0936408901341761</v>
      </c>
      <c r="AK80" s="16"/>
      <c r="AL80" s="5">
        <f t="shared" si="2"/>
        <v>1.1174444040941518</v>
      </c>
      <c r="AM80" s="5"/>
      <c r="AN80" s="19">
        <v>6.3893592938390773</v>
      </c>
      <c r="AP80" s="19">
        <f t="shared" si="9"/>
        <v>79.817457435296561</v>
      </c>
      <c r="AQ80" s="39">
        <f t="shared" si="10"/>
        <v>1.1174444040941518</v>
      </c>
    </row>
    <row r="81" spans="1:44" s="38" customFormat="1" hidden="1">
      <c r="A81" s="38">
        <v>3</v>
      </c>
      <c r="B81" s="38" t="s">
        <v>44</v>
      </c>
      <c r="C81" s="45" t="s">
        <v>0</v>
      </c>
      <c r="D81" s="36">
        <v>39315</v>
      </c>
      <c r="E81" s="67"/>
      <c r="F81" s="64"/>
      <c r="G81" s="19"/>
      <c r="H81" s="19">
        <f t="shared" si="5"/>
        <v>0</v>
      </c>
      <c r="I81" s="16"/>
      <c r="J81" s="47"/>
      <c r="K81" s="21">
        <v>22.2</v>
      </c>
      <c r="L81" s="22">
        <f>(5.75+6.63)/2</f>
        <v>6.1899999999999995</v>
      </c>
      <c r="M81" s="21"/>
      <c r="N81" s="17"/>
      <c r="O81" s="19" t="s">
        <v>49</v>
      </c>
      <c r="P81" s="40">
        <v>1</v>
      </c>
      <c r="Q81" s="38" t="s">
        <v>61</v>
      </c>
      <c r="R81" s="38" t="s">
        <v>62</v>
      </c>
      <c r="S81" s="20">
        <v>30.6</v>
      </c>
      <c r="T81" s="20">
        <v>0.5307851492212754</v>
      </c>
      <c r="U81" s="21">
        <v>1.2327425373134331</v>
      </c>
      <c r="V81" s="19">
        <f t="shared" si="7"/>
        <v>1.7258395522388063E-2</v>
      </c>
      <c r="W81" s="22">
        <v>0.3561009958756664</v>
      </c>
      <c r="X81" s="19">
        <f t="shared" si="8"/>
        <v>4.9854139422593298E-3</v>
      </c>
      <c r="Y81" s="22">
        <v>1.5888435331890995</v>
      </c>
      <c r="Z81" s="16"/>
      <c r="AA81" s="22">
        <v>50.824484278014097</v>
      </c>
      <c r="AB81" s="19">
        <v>6.359869999999999</v>
      </c>
      <c r="AC81" s="19">
        <v>2.2320922421875018</v>
      </c>
      <c r="AD81" s="19">
        <v>8.5919622421875008</v>
      </c>
      <c r="AE81" s="16"/>
      <c r="AF81" s="19">
        <v>0.74021158621628036</v>
      </c>
      <c r="AG81" s="19">
        <v>61.215734063126902</v>
      </c>
      <c r="AH81" s="19">
        <v>9.0585246657142822</v>
      </c>
      <c r="AI81" s="19">
        <v>59.883008943728377</v>
      </c>
      <c r="AJ81" s="39">
        <f t="shared" si="6"/>
        <v>0.83836212521219733</v>
      </c>
      <c r="AK81" s="16"/>
      <c r="AL81" s="5">
        <f t="shared" si="2"/>
        <v>0.86060593467684465</v>
      </c>
      <c r="AM81" s="5"/>
      <c r="AN81" s="19">
        <v>6.7578039826753535</v>
      </c>
      <c r="AP81" s="19">
        <f t="shared" si="9"/>
        <v>61.471852476917476</v>
      </c>
      <c r="AQ81" s="39">
        <f t="shared" si="10"/>
        <v>0.86060593467684465</v>
      </c>
    </row>
    <row r="82" spans="1:44" s="38" customFormat="1">
      <c r="A82" s="38">
        <v>3</v>
      </c>
      <c r="B82" s="38" t="s">
        <v>43</v>
      </c>
      <c r="C82" s="45" t="s">
        <v>0</v>
      </c>
      <c r="D82" s="36">
        <v>39343</v>
      </c>
      <c r="E82" s="67">
        <v>0.34375</v>
      </c>
      <c r="F82" s="64">
        <v>2.8</v>
      </c>
      <c r="G82" s="19">
        <v>1.25</v>
      </c>
      <c r="H82" s="19">
        <f t="shared" si="5"/>
        <v>1.5499999999999998</v>
      </c>
      <c r="I82" s="16"/>
      <c r="J82" s="47"/>
      <c r="K82" s="21">
        <v>18.600000000000001</v>
      </c>
      <c r="L82" s="22">
        <f>(6.82+7.17)/2</f>
        <v>6.9950000000000001</v>
      </c>
      <c r="M82" s="21"/>
      <c r="N82" s="17"/>
      <c r="O82" s="19"/>
      <c r="P82" s="40"/>
      <c r="S82" s="20">
        <v>29.2</v>
      </c>
      <c r="T82" s="20">
        <v>1.0305645461414412</v>
      </c>
      <c r="U82" s="21">
        <v>4.7321418072784995</v>
      </c>
      <c r="V82" s="19">
        <f t="shared" si="7"/>
        <v>6.6249985301898989E-2</v>
      </c>
      <c r="W82" s="22">
        <v>0.96469168091741264</v>
      </c>
      <c r="X82" s="19">
        <f t="shared" si="8"/>
        <v>1.3505683532843777E-2</v>
      </c>
      <c r="Y82" s="22">
        <v>5.696833488195912</v>
      </c>
      <c r="Z82" s="16"/>
      <c r="AA82" s="22">
        <v>48.489917075706863</v>
      </c>
      <c r="AB82" s="19">
        <v>6.0686324683544308</v>
      </c>
      <c r="AC82" s="19">
        <v>3.4679575238330687</v>
      </c>
      <c r="AD82" s="19">
        <v>9.5365899921874995</v>
      </c>
      <c r="AE82" s="16"/>
      <c r="AF82" s="19">
        <v>0.6363524565201959</v>
      </c>
      <c r="AG82" s="19">
        <v>83.315055135791866</v>
      </c>
      <c r="AH82" s="19">
        <v>14.958153238548174</v>
      </c>
      <c r="AI82" s="19">
        <v>63.448070314255034</v>
      </c>
      <c r="AJ82" s="39">
        <f t="shared" si="6"/>
        <v>0.88827298439957048</v>
      </c>
      <c r="AK82" s="16"/>
      <c r="AL82" s="5">
        <f t="shared" si="2"/>
        <v>0.96802865323431342</v>
      </c>
      <c r="AM82" s="5"/>
      <c r="AN82" s="19">
        <v>5.5698757598687596</v>
      </c>
      <c r="AP82" s="19">
        <f t="shared" si="9"/>
        <v>69.144903802450941</v>
      </c>
      <c r="AQ82" s="39">
        <f t="shared" si="10"/>
        <v>0.9680286532343132</v>
      </c>
    </row>
    <row r="83" spans="1:44" s="38" customFormat="1" hidden="1">
      <c r="A83" s="38">
        <v>3</v>
      </c>
      <c r="B83" s="38" t="s">
        <v>44</v>
      </c>
      <c r="C83" s="45" t="s">
        <v>0</v>
      </c>
      <c r="D83" s="36">
        <v>39343</v>
      </c>
      <c r="E83" s="67"/>
      <c r="F83" s="64"/>
      <c r="G83" s="19"/>
      <c r="H83" s="19">
        <f t="shared" si="5"/>
        <v>0</v>
      </c>
      <c r="I83" s="16">
        <f>SUM(G75:G83)/4</f>
        <v>1.3225</v>
      </c>
      <c r="J83" s="47"/>
      <c r="K83" s="21">
        <v>18.7</v>
      </c>
      <c r="L83" s="22">
        <f>(6.62+6.8)/2</f>
        <v>6.71</v>
      </c>
      <c r="M83" s="21"/>
      <c r="N83" s="17">
        <f>SUM(L74:L83)/10</f>
        <v>5.3794999999999984</v>
      </c>
      <c r="O83" s="19"/>
      <c r="P83" s="40"/>
      <c r="S83" s="20">
        <v>29.2</v>
      </c>
      <c r="T83" s="20">
        <v>1.2944413744882886</v>
      </c>
      <c r="U83" s="21">
        <v>2.6127344347110353</v>
      </c>
      <c r="V83" s="19">
        <f t="shared" si="7"/>
        <v>3.6578282085954497E-2</v>
      </c>
      <c r="W83" s="22">
        <v>0.54622271401267475</v>
      </c>
      <c r="X83" s="19">
        <f t="shared" si="8"/>
        <v>7.6471179961774462E-3</v>
      </c>
      <c r="Y83" s="22">
        <v>3.1589571487237098</v>
      </c>
      <c r="Z83" s="16"/>
      <c r="AA83" s="22">
        <v>23.054467508810539</v>
      </c>
      <c r="AB83" s="19">
        <v>8.1262374683544305</v>
      </c>
      <c r="AC83" s="19">
        <v>4.0253814238330694</v>
      </c>
      <c r="AD83" s="19">
        <v>12.1516188921875</v>
      </c>
      <c r="AE83" s="16"/>
      <c r="AF83" s="19">
        <v>0.66873702512007993</v>
      </c>
      <c r="AG83" s="19">
        <v>112.8476895828812</v>
      </c>
      <c r="AH83" s="19">
        <v>18.454264826214381</v>
      </c>
      <c r="AI83" s="19">
        <v>41.508732335024916</v>
      </c>
      <c r="AJ83" s="39">
        <f t="shared" si="6"/>
        <v>0.58112225269034889</v>
      </c>
      <c r="AK83" s="16"/>
      <c r="AL83" s="5">
        <f t="shared" si="2"/>
        <v>0.62534765277248083</v>
      </c>
      <c r="AM83" s="5"/>
      <c r="AN83" s="19">
        <v>6.1149924229211488</v>
      </c>
      <c r="AP83" s="19">
        <f t="shared" si="9"/>
        <v>44.667689483748624</v>
      </c>
      <c r="AQ83" s="39">
        <f t="shared" si="10"/>
        <v>0.62534765277248072</v>
      </c>
    </row>
    <row r="84" spans="1:44" s="38" customFormat="1">
      <c r="A84" s="38">
        <v>3</v>
      </c>
      <c r="B84" s="38" t="s">
        <v>43</v>
      </c>
      <c r="C84" s="45" t="s">
        <v>0</v>
      </c>
      <c r="D84" s="36">
        <v>39638</v>
      </c>
      <c r="E84" s="67"/>
      <c r="F84" s="22">
        <v>3.3</v>
      </c>
      <c r="G84" s="22">
        <v>1.1000000000000001</v>
      </c>
      <c r="H84" s="19">
        <f t="shared" ref="H84:H116" si="11">F84-G84</f>
        <v>2.1999999999999997</v>
      </c>
      <c r="I84" s="16"/>
      <c r="J84" s="38">
        <v>0.5</v>
      </c>
      <c r="K84" s="21">
        <v>25.8</v>
      </c>
      <c r="L84" s="22">
        <v>4.0031175943630695</v>
      </c>
      <c r="M84" s="21">
        <v>100.1</v>
      </c>
      <c r="N84" s="17"/>
      <c r="O84" s="68" t="s">
        <v>63</v>
      </c>
      <c r="P84" s="69">
        <v>1</v>
      </c>
      <c r="Q84" s="68" t="s">
        <v>64</v>
      </c>
      <c r="R84" s="68" t="s">
        <v>63</v>
      </c>
      <c r="S84" s="21">
        <v>31</v>
      </c>
      <c r="T84" s="20">
        <v>0.81917550598021871</v>
      </c>
      <c r="U84" s="20">
        <v>1.6154431190457124</v>
      </c>
      <c r="V84" s="19">
        <f t="shared" si="7"/>
        <v>2.2616203666639974E-2</v>
      </c>
      <c r="W84" s="22">
        <v>0.48050760260660791</v>
      </c>
      <c r="X84" s="19">
        <f t="shared" si="8"/>
        <v>6.7271064364925106E-3</v>
      </c>
      <c r="Y84" s="19">
        <v>2.0959507216523203</v>
      </c>
      <c r="Z84" s="16"/>
      <c r="AA84" s="22">
        <v>33.233328944884086</v>
      </c>
      <c r="AB84" s="22">
        <v>13.488896202531643</v>
      </c>
      <c r="AC84" s="22">
        <v>6.2816053183016916</v>
      </c>
      <c r="AD84" s="22">
        <v>19.770501520833335</v>
      </c>
      <c r="AE84" s="16"/>
      <c r="AF84" s="22">
        <v>0.68227385068191637</v>
      </c>
      <c r="AG84" s="22">
        <v>109.66531569958818</v>
      </c>
      <c r="AH84" s="22">
        <v>19.544194048668967</v>
      </c>
      <c r="AI84" s="22">
        <v>52.777522993553049</v>
      </c>
      <c r="AJ84" s="39">
        <f t="shared" si="6"/>
        <v>0.73888532190974265</v>
      </c>
      <c r="AK84" s="16"/>
      <c r="AL84" s="5">
        <f t="shared" si="2"/>
        <v>0.76822863201287528</v>
      </c>
      <c r="AM84" s="5"/>
      <c r="AN84" s="22">
        <v>5.6111454596950647</v>
      </c>
      <c r="AP84" s="19">
        <f t="shared" si="9"/>
        <v>54.873473715205371</v>
      </c>
      <c r="AQ84" s="39">
        <f t="shared" si="10"/>
        <v>0.76822863201287517</v>
      </c>
    </row>
    <row r="85" spans="1:44" s="38" customFormat="1" hidden="1">
      <c r="A85" s="38">
        <v>3</v>
      </c>
      <c r="B85" s="38" t="s">
        <v>44</v>
      </c>
      <c r="C85" s="45" t="s">
        <v>0</v>
      </c>
      <c r="D85" s="36">
        <v>39638</v>
      </c>
      <c r="E85" s="67"/>
      <c r="F85" s="22">
        <v>3.3</v>
      </c>
      <c r="G85" s="22">
        <v>1.1000000000000001</v>
      </c>
      <c r="H85" s="19">
        <f t="shared" si="11"/>
        <v>2.1999999999999997</v>
      </c>
      <c r="I85" s="16"/>
      <c r="J85" s="38">
        <v>2.8</v>
      </c>
      <c r="K85" s="21">
        <v>25.5</v>
      </c>
      <c r="L85" s="22">
        <v>3.2447645259756541</v>
      </c>
      <c r="M85" s="21">
        <v>100.1</v>
      </c>
      <c r="N85" s="17"/>
      <c r="O85" s="68" t="s">
        <v>63</v>
      </c>
      <c r="P85" s="69">
        <v>1</v>
      </c>
      <c r="Q85" s="68" t="s">
        <v>64</v>
      </c>
      <c r="R85" s="68" t="s">
        <v>63</v>
      </c>
      <c r="S85" s="21">
        <v>31.1</v>
      </c>
      <c r="T85" s="20">
        <v>0.94318294891440635</v>
      </c>
      <c r="U85" s="20">
        <v>2.6677607877671923</v>
      </c>
      <c r="V85" s="19">
        <f t="shared" si="7"/>
        <v>3.7348651028740694E-2</v>
      </c>
      <c r="W85" s="22">
        <v>0.97786720321931597</v>
      </c>
      <c r="X85" s="19">
        <f t="shared" si="8"/>
        <v>1.3690140845070423E-2</v>
      </c>
      <c r="Y85" s="19">
        <v>3.6456279909865081</v>
      </c>
      <c r="Z85" s="16"/>
      <c r="AA85" s="22">
        <v>79.51108155798353</v>
      </c>
      <c r="AB85" s="22">
        <v>14.348209493670883</v>
      </c>
      <c r="AC85" s="22">
        <v>7.6166530271624504</v>
      </c>
      <c r="AD85" s="22">
        <v>21.964862520833332</v>
      </c>
      <c r="AE85" s="16"/>
      <c r="AF85" s="22">
        <v>0.65323465967801198</v>
      </c>
      <c r="AG85" s="22">
        <v>101.1927769534778</v>
      </c>
      <c r="AH85" s="22">
        <v>17.900961758712562</v>
      </c>
      <c r="AI85" s="22">
        <v>97.412043316696099</v>
      </c>
      <c r="AJ85" s="39">
        <f t="shared" si="6"/>
        <v>1.3637686064337453</v>
      </c>
      <c r="AK85" s="16"/>
      <c r="AL85" s="5">
        <f t="shared" si="2"/>
        <v>1.4148073983075564</v>
      </c>
      <c r="AM85" s="5"/>
      <c r="AN85" s="22">
        <v>5.6529240337730098</v>
      </c>
      <c r="AP85" s="19">
        <f t="shared" si="9"/>
        <v>101.05767130768261</v>
      </c>
      <c r="AQ85" s="39">
        <f t="shared" si="10"/>
        <v>1.4148073983075566</v>
      </c>
    </row>
    <row r="86" spans="1:44" s="38" customFormat="1" hidden="1">
      <c r="A86" s="38">
        <v>3</v>
      </c>
      <c r="B86" s="38" t="s">
        <v>65</v>
      </c>
      <c r="C86" s="45" t="s">
        <v>0</v>
      </c>
      <c r="D86" s="36">
        <v>39653</v>
      </c>
      <c r="E86" s="67"/>
      <c r="F86" s="22">
        <v>3.1</v>
      </c>
      <c r="G86" s="22">
        <v>1.2</v>
      </c>
      <c r="H86" s="19">
        <f t="shared" si="11"/>
        <v>1.9000000000000001</v>
      </c>
      <c r="I86" s="16"/>
      <c r="J86" s="38">
        <v>1.6</v>
      </c>
      <c r="K86" s="21">
        <v>25.3</v>
      </c>
      <c r="L86" s="22">
        <v>4.6447229794287646</v>
      </c>
      <c r="M86" s="21">
        <v>100</v>
      </c>
      <c r="N86" s="17"/>
      <c r="O86" s="68" t="s">
        <v>63</v>
      </c>
      <c r="P86" s="69">
        <v>1</v>
      </c>
      <c r="Q86" s="68" t="s">
        <v>43</v>
      </c>
      <c r="R86" s="68" t="s">
        <v>47</v>
      </c>
      <c r="S86" s="21">
        <v>31.7</v>
      </c>
      <c r="T86" s="20">
        <v>0.43815571507454448</v>
      </c>
      <c r="U86" s="20">
        <v>1.1285524152509188</v>
      </c>
      <c r="V86" s="19">
        <f t="shared" si="7"/>
        <v>1.5799733813512865E-2</v>
      </c>
      <c r="W86" s="22">
        <v>0.95875251509054338</v>
      </c>
      <c r="X86" s="19">
        <f t="shared" si="8"/>
        <v>1.3422535211267607E-2</v>
      </c>
      <c r="Y86" s="19">
        <v>2.0873049303414621</v>
      </c>
      <c r="Z86" s="16"/>
      <c r="AA86" s="22">
        <v>81.961031083135822</v>
      </c>
      <c r="AB86" s="22">
        <v>14.563575949367088</v>
      </c>
      <c r="AC86" s="19">
        <v>5.3232681131329089</v>
      </c>
      <c r="AD86" s="22">
        <v>19.886844062499996</v>
      </c>
      <c r="AE86" s="16"/>
      <c r="AF86" s="19">
        <v>0.73232212731175228</v>
      </c>
      <c r="AG86" s="22">
        <v>142.82151162771191</v>
      </c>
      <c r="AH86" s="22">
        <v>23.487951544564329</v>
      </c>
      <c r="AI86" s="22">
        <v>105.44898262770015</v>
      </c>
      <c r="AJ86" s="39">
        <f t="shared" si="6"/>
        <v>1.4762857567878021</v>
      </c>
      <c r="AK86" s="16"/>
      <c r="AL86" s="5">
        <f t="shared" si="2"/>
        <v>1.5055080258125826</v>
      </c>
      <c r="AM86" s="5"/>
      <c r="AN86" s="22">
        <v>6.0806286728211605</v>
      </c>
      <c r="AP86" s="19">
        <f t="shared" si="9"/>
        <v>107.53628755804161</v>
      </c>
      <c r="AQ86" s="39">
        <f t="shared" si="10"/>
        <v>1.5055080258125826</v>
      </c>
    </row>
    <row r="87" spans="1:44" s="38" customFormat="1" hidden="1">
      <c r="A87" s="38">
        <v>3</v>
      </c>
      <c r="B87" s="38" t="s">
        <v>44</v>
      </c>
      <c r="C87" s="45" t="s">
        <v>0</v>
      </c>
      <c r="D87" s="36">
        <v>39653</v>
      </c>
      <c r="E87" s="67"/>
      <c r="F87" s="22">
        <v>3.1</v>
      </c>
      <c r="G87" s="22">
        <v>1.2</v>
      </c>
      <c r="H87" s="19">
        <f t="shared" si="11"/>
        <v>1.9000000000000001</v>
      </c>
      <c r="I87" s="16"/>
      <c r="J87" s="38">
        <v>2.5</v>
      </c>
      <c r="K87" s="21">
        <v>25.1</v>
      </c>
      <c r="L87" s="22">
        <v>4.3379406673469338</v>
      </c>
      <c r="M87" s="21">
        <v>100</v>
      </c>
      <c r="N87" s="17"/>
      <c r="O87" s="68" t="s">
        <v>63</v>
      </c>
      <c r="P87" s="69">
        <v>1</v>
      </c>
      <c r="Q87" s="68" t="s">
        <v>43</v>
      </c>
      <c r="R87" s="68" t="s">
        <v>47</v>
      </c>
      <c r="S87" s="21">
        <v>31.9</v>
      </c>
      <c r="T87" s="20">
        <v>0.50647355613390577</v>
      </c>
      <c r="U87" s="20">
        <v>0.63121428012213099</v>
      </c>
      <c r="V87" s="19">
        <f t="shared" si="7"/>
        <v>8.8369999217098334E-3</v>
      </c>
      <c r="W87" s="22">
        <v>0.2253</v>
      </c>
      <c r="X87" s="19">
        <f t="shared" si="8"/>
        <v>3.1542000000000002E-3</v>
      </c>
      <c r="Y87" s="19">
        <v>0.85651428012213104</v>
      </c>
      <c r="Z87" s="16"/>
      <c r="AA87" s="22">
        <v>27.447560229877869</v>
      </c>
      <c r="AB87" s="22">
        <v>14.437822784810127</v>
      </c>
      <c r="AC87" s="19">
        <v>5.9350062776898715</v>
      </c>
      <c r="AD87" s="22">
        <v>20.372829062499999</v>
      </c>
      <c r="AE87" s="16"/>
      <c r="AF87" s="19">
        <v>0.7086803084891945</v>
      </c>
      <c r="AG87" s="22">
        <v>126.00574956116175</v>
      </c>
      <c r="AH87" s="22">
        <v>20.530133422642805</v>
      </c>
      <c r="AI87" s="22">
        <v>47.977693652520671</v>
      </c>
      <c r="AJ87" s="39">
        <f t="shared" si="6"/>
        <v>0.67168771113528936</v>
      </c>
      <c r="AK87" s="16"/>
      <c r="AL87" s="5">
        <f t="shared" si="2"/>
        <v>0.68367891105699929</v>
      </c>
      <c r="AM87" s="5"/>
      <c r="AN87" s="22">
        <v>6.1376001298749117</v>
      </c>
      <c r="AP87" s="19">
        <f t="shared" si="9"/>
        <v>48.834207932642805</v>
      </c>
      <c r="AQ87" s="39">
        <f t="shared" si="10"/>
        <v>0.68367891105699929</v>
      </c>
    </row>
    <row r="88" spans="1:44" s="38" customFormat="1">
      <c r="A88" s="38">
        <v>3</v>
      </c>
      <c r="B88" s="38" t="s">
        <v>43</v>
      </c>
      <c r="C88" s="45" t="s">
        <v>0</v>
      </c>
      <c r="D88" s="36">
        <v>39667</v>
      </c>
      <c r="E88" s="67"/>
      <c r="F88" s="22">
        <v>2.5</v>
      </c>
      <c r="G88" s="22">
        <v>1.5</v>
      </c>
      <c r="H88" s="19">
        <f t="shared" si="11"/>
        <v>1</v>
      </c>
      <c r="I88" s="16"/>
      <c r="J88" s="38">
        <v>0.5</v>
      </c>
      <c r="K88" s="21">
        <v>22.1</v>
      </c>
      <c r="L88" s="22">
        <v>4.7636895806130495</v>
      </c>
      <c r="M88" s="21">
        <v>100</v>
      </c>
      <c r="N88" s="17"/>
      <c r="O88" s="68" t="s">
        <v>66</v>
      </c>
      <c r="P88" s="69">
        <v>2</v>
      </c>
      <c r="Q88" s="68" t="s">
        <v>59</v>
      </c>
      <c r="R88" s="68" t="s">
        <v>67</v>
      </c>
      <c r="S88" s="21">
        <v>30.9</v>
      </c>
      <c r="T88" s="20">
        <v>0.83303661081161928</v>
      </c>
      <c r="U88" s="20">
        <v>0.65208253725640009</v>
      </c>
      <c r="V88" s="19">
        <f t="shared" si="7"/>
        <v>9.1291555215896013E-3</v>
      </c>
      <c r="W88" s="22">
        <v>0.35859999999999997</v>
      </c>
      <c r="X88" s="19">
        <f t="shared" si="8"/>
        <v>5.0203999999999995E-3</v>
      </c>
      <c r="Y88" s="19">
        <v>1.0106825372564001</v>
      </c>
      <c r="Z88" s="16"/>
      <c r="AA88" s="22">
        <v>63.166780012743601</v>
      </c>
      <c r="AB88" s="22">
        <v>11.491120253164558</v>
      </c>
      <c r="AC88" s="19">
        <v>3.8473338093354408</v>
      </c>
      <c r="AD88" s="22">
        <v>15.338454062499999</v>
      </c>
      <c r="AE88" s="16"/>
      <c r="AF88" s="19">
        <v>0.74917069258358049</v>
      </c>
      <c r="AG88" s="22">
        <v>108.44376315527116</v>
      </c>
      <c r="AH88" s="22">
        <v>17.520964291660146</v>
      </c>
      <c r="AI88" s="22">
        <v>80.687744304403751</v>
      </c>
      <c r="AJ88" s="39">
        <f t="shared" si="6"/>
        <v>1.1296284202616524</v>
      </c>
      <c r="AK88" s="16"/>
      <c r="AL88" s="5">
        <f t="shared" si="2"/>
        <v>1.143777975783242</v>
      </c>
      <c r="AM88" s="5"/>
      <c r="AN88" s="22">
        <v>6.1893718490648153</v>
      </c>
      <c r="AP88" s="19">
        <f t="shared" si="9"/>
        <v>81.698426841660151</v>
      </c>
      <c r="AQ88" s="39">
        <f t="shared" si="10"/>
        <v>1.143777975783242</v>
      </c>
    </row>
    <row r="89" spans="1:44" s="38" customFormat="1" hidden="1">
      <c r="A89" s="38">
        <v>3</v>
      </c>
      <c r="B89" s="38" t="s">
        <v>44</v>
      </c>
      <c r="C89" s="45" t="s">
        <v>0</v>
      </c>
      <c r="D89" s="36">
        <v>39667</v>
      </c>
      <c r="E89" s="67"/>
      <c r="F89" s="22">
        <v>2.5</v>
      </c>
      <c r="G89" s="22">
        <v>1.5</v>
      </c>
      <c r="H89" s="19">
        <f t="shared" si="11"/>
        <v>1</v>
      </c>
      <c r="I89" s="16"/>
      <c r="J89" s="38">
        <v>2</v>
      </c>
      <c r="K89" s="21">
        <v>22.3</v>
      </c>
      <c r="L89" s="22">
        <v>4.3469741046095756</v>
      </c>
      <c r="M89" s="21">
        <v>100</v>
      </c>
      <c r="N89" s="17"/>
      <c r="O89" s="68" t="s">
        <v>66</v>
      </c>
      <c r="P89" s="69">
        <v>2</v>
      </c>
      <c r="Q89" s="68" t="s">
        <v>59</v>
      </c>
      <c r="R89" s="68" t="s">
        <v>67</v>
      </c>
      <c r="S89" s="21">
        <v>30.9</v>
      </c>
      <c r="T89" s="20">
        <v>0.68767580809411566</v>
      </c>
      <c r="U89" s="20">
        <v>0.83091325945739336</v>
      </c>
      <c r="V89" s="19">
        <f t="shared" si="7"/>
        <v>1.1632785632403508E-2</v>
      </c>
      <c r="W89" s="22">
        <v>0.33645821424488392</v>
      </c>
      <c r="X89" s="19">
        <f t="shared" si="8"/>
        <v>4.7104149994283747E-3</v>
      </c>
      <c r="Y89" s="19">
        <v>1.1673714737022773</v>
      </c>
      <c r="Z89" s="16"/>
      <c r="AA89" s="22">
        <v>46.717594007605527</v>
      </c>
      <c r="AB89" s="22">
        <v>19.580107594936706</v>
      </c>
      <c r="AC89" s="19">
        <v>4.5919964675632956</v>
      </c>
      <c r="AD89" s="22">
        <v>24.172104062500001</v>
      </c>
      <c r="AE89" s="16"/>
      <c r="AF89" s="19">
        <v>0.81002909570097359</v>
      </c>
      <c r="AG89" s="22">
        <v>143.26872037226562</v>
      </c>
      <c r="AH89" s="22">
        <v>24.145244460546895</v>
      </c>
      <c r="AI89" s="22">
        <v>70.862838468152418</v>
      </c>
      <c r="AJ89" s="39">
        <f t="shared" si="6"/>
        <v>0.99207973855413389</v>
      </c>
      <c r="AK89" s="16"/>
      <c r="AL89" s="5">
        <f t="shared" si="2"/>
        <v>1.0084229391859658</v>
      </c>
      <c r="AM89" s="5"/>
      <c r="AN89" s="22">
        <v>5.9336206186011236</v>
      </c>
      <c r="AP89" s="19">
        <f t="shared" si="9"/>
        <v>72.030209941854693</v>
      </c>
      <c r="AQ89" s="39">
        <f t="shared" si="10"/>
        <v>1.0084229391859658</v>
      </c>
    </row>
    <row r="90" spans="1:44" s="38" customFormat="1">
      <c r="A90" s="38">
        <v>3</v>
      </c>
      <c r="B90" s="38" t="s">
        <v>43</v>
      </c>
      <c r="C90" s="45" t="s">
        <v>0</v>
      </c>
      <c r="D90" s="36">
        <v>39686</v>
      </c>
      <c r="E90" s="67"/>
      <c r="F90" s="22">
        <v>3.1</v>
      </c>
      <c r="G90" s="22">
        <v>1.3</v>
      </c>
      <c r="H90" s="19">
        <f t="shared" si="11"/>
        <v>1.8</v>
      </c>
      <c r="I90" s="16"/>
      <c r="J90" s="38">
        <v>0.5</v>
      </c>
      <c r="K90" s="21">
        <v>23.1</v>
      </c>
      <c r="L90" s="22">
        <v>4.6223626657569383</v>
      </c>
      <c r="M90" s="21">
        <v>99.4</v>
      </c>
      <c r="N90" s="17"/>
      <c r="O90" s="68" t="s">
        <v>63</v>
      </c>
      <c r="P90" s="69">
        <v>1</v>
      </c>
      <c r="Q90" s="68" t="s">
        <v>52</v>
      </c>
      <c r="R90" s="68" t="s">
        <v>63</v>
      </c>
      <c r="S90" s="21">
        <v>31.1</v>
      </c>
      <c r="T90" s="20">
        <v>0.61034801668891725</v>
      </c>
      <c r="U90" s="20">
        <v>1.2240935583983039</v>
      </c>
      <c r="V90" s="19">
        <f t="shared" ref="V90:X105" si="12">U90*0.014</f>
        <v>1.7137309817576257E-2</v>
      </c>
      <c r="W90" s="22">
        <v>1.2141305590488165</v>
      </c>
      <c r="X90" s="19">
        <f t="shared" si="8"/>
        <v>1.699782782668343E-2</v>
      </c>
      <c r="Y90" s="19">
        <v>2.4382241174471204</v>
      </c>
      <c r="Z90" s="16"/>
      <c r="AA90" s="22">
        <v>55.760340422552879</v>
      </c>
      <c r="AB90" s="30">
        <v>13.443806329113922</v>
      </c>
      <c r="AC90" s="31">
        <v>0.18024167088607546</v>
      </c>
      <c r="AD90" s="22">
        <v>13.624047999999998</v>
      </c>
      <c r="AE90" s="16"/>
      <c r="AF90" s="31">
        <v>0.98677032913521179</v>
      </c>
      <c r="AG90" s="22">
        <v>116.14817692611406</v>
      </c>
      <c r="AH90" s="22">
        <v>15.764759781769241</v>
      </c>
      <c r="AI90" s="22">
        <v>71.525100204322115</v>
      </c>
      <c r="AJ90" s="39">
        <f t="shared" si="6"/>
        <v>1.0013514028605097</v>
      </c>
      <c r="AK90" s="16"/>
      <c r="AL90" s="5">
        <f t="shared" si="2"/>
        <v>1.0354865405047693</v>
      </c>
      <c r="AM90" s="5"/>
      <c r="AN90" s="22">
        <v>7.3675830481369395</v>
      </c>
      <c r="AP90" s="19">
        <f t="shared" si="9"/>
        <v>73.963324321769235</v>
      </c>
      <c r="AQ90" s="39">
        <f t="shared" si="10"/>
        <v>1.0354865405047693</v>
      </c>
    </row>
    <row r="91" spans="1:44" s="38" customFormat="1" hidden="1">
      <c r="A91" s="38">
        <v>3</v>
      </c>
      <c r="B91" s="38" t="s">
        <v>44</v>
      </c>
      <c r="C91" s="45" t="s">
        <v>0</v>
      </c>
      <c r="D91" s="36">
        <v>39686</v>
      </c>
      <c r="E91" s="67"/>
      <c r="F91" s="22">
        <v>3.1</v>
      </c>
      <c r="G91" s="22">
        <v>1.3</v>
      </c>
      <c r="H91" s="19">
        <f t="shared" si="11"/>
        <v>1.8</v>
      </c>
      <c r="I91" s="16"/>
      <c r="J91" s="38">
        <v>2</v>
      </c>
      <c r="K91" s="21">
        <v>23.2</v>
      </c>
      <c r="L91" s="22">
        <v>4.3495992601465066</v>
      </c>
      <c r="M91" s="21">
        <v>99.4</v>
      </c>
      <c r="N91" s="17"/>
      <c r="O91" s="68" t="s">
        <v>63</v>
      </c>
      <c r="P91" s="69">
        <v>1</v>
      </c>
      <c r="Q91" s="68" t="s">
        <v>52</v>
      </c>
      <c r="R91" s="68" t="s">
        <v>63</v>
      </c>
      <c r="S91" s="21">
        <v>31</v>
      </c>
      <c r="T91" s="20">
        <v>0.81367900744313182</v>
      </c>
      <c r="U91" s="20">
        <v>0.82351828022102702</v>
      </c>
      <c r="V91" s="19">
        <f t="shared" si="12"/>
        <v>1.1529255923094379E-2</v>
      </c>
      <c r="W91" s="22">
        <v>0.13067337372813534</v>
      </c>
      <c r="X91" s="19">
        <f t="shared" si="8"/>
        <v>1.8294272321938948E-3</v>
      </c>
      <c r="Y91" s="19">
        <v>0.95419165394916239</v>
      </c>
      <c r="Z91" s="16"/>
      <c r="AA91" s="22">
        <v>29.591969606960049</v>
      </c>
      <c r="AB91" s="30">
        <v>13.327796202531648</v>
      </c>
      <c r="AC91" s="31">
        <v>0.91773979746835721</v>
      </c>
      <c r="AD91" s="22">
        <v>14.245536000000005</v>
      </c>
      <c r="AE91" s="16"/>
      <c r="AF91" s="31">
        <v>0.9355770258508801</v>
      </c>
      <c r="AG91" s="22">
        <v>108.74898963873569</v>
      </c>
      <c r="AH91" s="22">
        <v>15.189628480284497</v>
      </c>
      <c r="AI91" s="22">
        <v>44.781598087244546</v>
      </c>
      <c r="AJ91" s="39">
        <f t="shared" si="6"/>
        <v>0.62694237322142365</v>
      </c>
      <c r="AK91" s="16"/>
      <c r="AL91" s="5">
        <f t="shared" si="2"/>
        <v>0.64030105637671197</v>
      </c>
      <c r="AM91" s="5"/>
      <c r="AN91" s="22">
        <v>7.1594239306041842</v>
      </c>
      <c r="AP91" s="19">
        <f t="shared" si="9"/>
        <v>45.735789741193706</v>
      </c>
      <c r="AQ91" s="39">
        <f t="shared" si="10"/>
        <v>0.64030105637671186</v>
      </c>
    </row>
    <row r="92" spans="1:44" s="38" customFormat="1">
      <c r="A92" s="38">
        <v>3</v>
      </c>
      <c r="B92" s="38" t="s">
        <v>43</v>
      </c>
      <c r="C92" s="45" t="s">
        <v>0</v>
      </c>
      <c r="D92" s="36">
        <v>39700</v>
      </c>
      <c r="E92" s="67"/>
      <c r="F92" s="22">
        <v>2</v>
      </c>
      <c r="G92" s="22">
        <v>1.3</v>
      </c>
      <c r="H92" s="19">
        <f t="shared" si="11"/>
        <v>0.7</v>
      </c>
      <c r="I92" s="16"/>
      <c r="J92" s="38">
        <v>0.5</v>
      </c>
      <c r="K92" s="21">
        <v>23.2</v>
      </c>
      <c r="L92" s="22">
        <v>5.4495414114075471</v>
      </c>
      <c r="M92" s="21">
        <v>100.6</v>
      </c>
      <c r="N92" s="17"/>
      <c r="O92" s="68" t="s">
        <v>63</v>
      </c>
      <c r="P92" s="69">
        <v>2</v>
      </c>
      <c r="Q92" s="68" t="s">
        <v>43</v>
      </c>
      <c r="R92" s="68" t="s">
        <v>63</v>
      </c>
      <c r="S92" s="21">
        <v>30.6</v>
      </c>
      <c r="T92" s="20">
        <v>0.4</v>
      </c>
      <c r="U92" s="20">
        <v>1.709003326069503</v>
      </c>
      <c r="V92" s="19">
        <f t="shared" si="12"/>
        <v>2.3926046564973043E-2</v>
      </c>
      <c r="W92" s="22">
        <v>0.41774322624899962</v>
      </c>
      <c r="X92" s="19">
        <f t="shared" si="8"/>
        <v>5.8484051674859948E-3</v>
      </c>
      <c r="Y92" s="19">
        <v>2.1267465523185027</v>
      </c>
      <c r="Z92" s="16"/>
      <c r="AA92" s="22">
        <v>41.274045423713808</v>
      </c>
      <c r="AB92" s="22">
        <v>16.425232424999994</v>
      </c>
      <c r="AC92" s="22">
        <v>8.0641915884687574</v>
      </c>
      <c r="AD92" s="22">
        <v>24.489424013468749</v>
      </c>
      <c r="AE92" s="16"/>
      <c r="AF92" s="22">
        <v>0.67070717612494302</v>
      </c>
      <c r="AG92" s="22">
        <v>92.625412640741274</v>
      </c>
      <c r="AH92" s="22">
        <v>14.00342017097222</v>
      </c>
      <c r="AI92" s="22">
        <v>55.277465594686028</v>
      </c>
      <c r="AJ92" s="39">
        <f t="shared" si="6"/>
        <v>0.77388451832560445</v>
      </c>
      <c r="AK92" s="16"/>
      <c r="AL92" s="5">
        <f t="shared" si="2"/>
        <v>0.80365897005806342</v>
      </c>
      <c r="AM92" s="5"/>
      <c r="AN92" s="22">
        <v>6.6144849979396527</v>
      </c>
      <c r="AP92" s="19">
        <f t="shared" si="9"/>
        <v>57.404212147004529</v>
      </c>
      <c r="AQ92" s="39">
        <f t="shared" si="10"/>
        <v>0.80365897005806342</v>
      </c>
    </row>
    <row r="93" spans="1:44" s="49" customFormat="1" hidden="1">
      <c r="A93" s="38">
        <v>3</v>
      </c>
      <c r="B93" s="38" t="s">
        <v>44</v>
      </c>
      <c r="C93" s="45" t="s">
        <v>0</v>
      </c>
      <c r="D93" s="36">
        <v>39700</v>
      </c>
      <c r="E93" s="70"/>
      <c r="F93" s="22">
        <v>2</v>
      </c>
      <c r="G93" s="22">
        <v>1.3</v>
      </c>
      <c r="H93" s="19">
        <f t="shared" si="11"/>
        <v>0.7</v>
      </c>
      <c r="I93" s="16">
        <f>SUM(G84:G93)/10</f>
        <v>1.2800000000000002</v>
      </c>
      <c r="J93" s="38">
        <v>1.5</v>
      </c>
      <c r="K93" s="21">
        <v>23.3</v>
      </c>
      <c r="L93" s="22">
        <v>4.9751605847580676</v>
      </c>
      <c r="M93" s="21">
        <v>100.6</v>
      </c>
      <c r="N93" s="16">
        <f>SUM(L84:L93)/10</f>
        <v>4.4737873374406103</v>
      </c>
      <c r="O93" s="68" t="s">
        <v>63</v>
      </c>
      <c r="P93" s="69">
        <v>2</v>
      </c>
      <c r="Q93" s="68" t="s">
        <v>43</v>
      </c>
      <c r="R93" s="68" t="s">
        <v>63</v>
      </c>
      <c r="S93" s="21">
        <v>30.5</v>
      </c>
      <c r="T93" s="20">
        <v>0.60141897354408891</v>
      </c>
      <c r="U93" s="20">
        <v>1.3665099208624842</v>
      </c>
      <c r="V93" s="19">
        <f t="shared" si="12"/>
        <v>1.9131138892074781E-2</v>
      </c>
      <c r="W93" s="22">
        <v>0.13376014633588656</v>
      </c>
      <c r="X93" s="19">
        <f t="shared" si="8"/>
        <v>1.872642048702412E-3</v>
      </c>
      <c r="Y93" s="19">
        <v>1.5002700671983709</v>
      </c>
      <c r="Z93" s="16">
        <f>SUM(Y74:Y93)/20</f>
        <v>3.2584932755386689</v>
      </c>
      <c r="AA93" s="22">
        <v>22.977309716571334</v>
      </c>
      <c r="AB93" s="22">
        <v>12.410432474999997</v>
      </c>
      <c r="AC93" s="22">
        <v>11.013643950968758</v>
      </c>
      <c r="AD93" s="22">
        <v>23.424076425968757</v>
      </c>
      <c r="AE93" s="16">
        <f>SUM(AD74:AD93)/20</f>
        <v>17.77746159603668</v>
      </c>
      <c r="AF93" s="22">
        <v>0.52981523152995491</v>
      </c>
      <c r="AG93" s="22">
        <v>86.493918489993391</v>
      </c>
      <c r="AH93" s="22">
        <v>13.510450483985299</v>
      </c>
      <c r="AI93" s="22">
        <v>36.487760200556636</v>
      </c>
      <c r="AJ93" s="39">
        <f t="shared" si="6"/>
        <v>0.51082864280779294</v>
      </c>
      <c r="AK93" s="16">
        <f>SUM(AJ74:AJ93)/20</f>
        <v>1.0194891719925037</v>
      </c>
      <c r="AL93" s="5">
        <f t="shared" si="2"/>
        <v>0.53183242374857009</v>
      </c>
      <c r="AM93" s="16">
        <f>SUM(AL74:AL93)/20</f>
        <v>1.0651080778500446</v>
      </c>
      <c r="AN93" s="22">
        <v>6.4020010726155672</v>
      </c>
      <c r="AO93" s="22"/>
      <c r="AP93" s="19">
        <f t="shared" si="9"/>
        <v>37.988030267755008</v>
      </c>
      <c r="AQ93" s="39">
        <f t="shared" si="10"/>
        <v>0.53183242374857009</v>
      </c>
      <c r="AR93" s="19"/>
    </row>
    <row r="94" spans="1:44" s="38" customFormat="1">
      <c r="A94" s="38">
        <v>3</v>
      </c>
      <c r="B94" s="38" t="s">
        <v>43</v>
      </c>
      <c r="C94" s="45" t="s">
        <v>0</v>
      </c>
      <c r="D94" s="36">
        <v>40008</v>
      </c>
      <c r="E94" s="46">
        <v>0.34375</v>
      </c>
      <c r="F94" s="38">
        <v>1.9</v>
      </c>
      <c r="G94" s="38">
        <v>1.54</v>
      </c>
      <c r="H94" s="19">
        <f t="shared" si="11"/>
        <v>0.35999999999999988</v>
      </c>
      <c r="I94" s="16"/>
      <c r="J94" s="47"/>
      <c r="K94" s="20">
        <v>22.4</v>
      </c>
      <c r="L94" s="19">
        <v>4.7201106321793223</v>
      </c>
      <c r="M94" s="38">
        <v>5.6</v>
      </c>
      <c r="N94" s="17"/>
      <c r="O94" s="38" t="s">
        <v>63</v>
      </c>
      <c r="P94" s="38">
        <v>2</v>
      </c>
      <c r="Q94" s="38" t="s">
        <v>68</v>
      </c>
      <c r="S94" s="21">
        <v>29.5</v>
      </c>
      <c r="T94" s="20">
        <v>0.2</v>
      </c>
      <c r="U94" s="20">
        <v>0.9170623372645117</v>
      </c>
      <c r="V94" s="19">
        <f t="shared" si="12"/>
        <v>1.2838872721703164E-2</v>
      </c>
      <c r="W94" s="22">
        <v>7.4348901498617781E-2</v>
      </c>
      <c r="X94" s="19">
        <f t="shared" si="12"/>
        <v>1.040884620980649E-3</v>
      </c>
      <c r="Y94" s="19">
        <v>0.99141123876312953</v>
      </c>
      <c r="Z94" s="16"/>
      <c r="AA94" s="22">
        <v>20.710893725775875</v>
      </c>
      <c r="AB94" s="32">
        <v>20.459360126582276</v>
      </c>
      <c r="AC94" s="32">
        <v>4.3818375452927301</v>
      </c>
      <c r="AD94" s="19">
        <v>24.841197671875005</v>
      </c>
      <c r="AE94" s="16"/>
      <c r="AF94" s="33">
        <v>0.82360602724667298</v>
      </c>
      <c r="AG94" s="22">
        <v>88.398838361959662</v>
      </c>
      <c r="AH94" s="22">
        <v>13.292089802049608</v>
      </c>
      <c r="AI94" s="22">
        <v>34.002983527825485</v>
      </c>
      <c r="AJ94" s="39">
        <f t="shared" si="6"/>
        <v>0.47604176938955678</v>
      </c>
      <c r="AK94" s="16"/>
      <c r="AL94" s="5">
        <f t="shared" si="2"/>
        <v>0.4899215267322406</v>
      </c>
      <c r="AM94" s="5"/>
      <c r="AN94" s="22">
        <v>6.6504845873316905</v>
      </c>
      <c r="AP94" s="19">
        <f t="shared" si="9"/>
        <v>34.994394766588613</v>
      </c>
      <c r="AQ94" s="39">
        <f t="shared" si="10"/>
        <v>0.4899215267322406</v>
      </c>
    </row>
    <row r="95" spans="1:44" s="38" customFormat="1" hidden="1">
      <c r="A95" s="38">
        <v>3</v>
      </c>
      <c r="B95" s="38" t="s">
        <v>44</v>
      </c>
      <c r="C95" s="45" t="s">
        <v>0</v>
      </c>
      <c r="D95" s="36">
        <v>40008</v>
      </c>
      <c r="E95" s="38" t="s">
        <v>47</v>
      </c>
      <c r="H95" s="19">
        <f t="shared" si="11"/>
        <v>0</v>
      </c>
      <c r="I95" s="16"/>
      <c r="J95" s="47"/>
      <c r="K95" s="20">
        <v>22.3</v>
      </c>
      <c r="L95" s="19">
        <v>4.4589205928197435</v>
      </c>
      <c r="M95" s="38">
        <v>5.3</v>
      </c>
      <c r="N95" s="17"/>
      <c r="S95" s="21">
        <v>29.8</v>
      </c>
      <c r="T95" s="20">
        <v>0.4</v>
      </c>
      <c r="U95" s="20">
        <v>1.5442640526880069</v>
      </c>
      <c r="V95" s="19">
        <f t="shared" si="12"/>
        <v>2.1619696737632099E-2</v>
      </c>
      <c r="W95" s="22">
        <v>0.40504874145205882</v>
      </c>
      <c r="X95" s="19">
        <f t="shared" si="12"/>
        <v>5.6706823803288238E-3</v>
      </c>
      <c r="Y95" s="19">
        <v>1.9493127941400656</v>
      </c>
      <c r="Z95" s="16"/>
      <c r="AA95" s="22">
        <v>33.516290042739371</v>
      </c>
      <c r="AB95" s="32">
        <v>11.590363291139242</v>
      </c>
      <c r="AC95" s="32">
        <v>3.1998053807357585</v>
      </c>
      <c r="AD95" s="19">
        <v>14.790168671875001</v>
      </c>
      <c r="AE95" s="16"/>
      <c r="AF95" s="33">
        <v>0.78365321912653285</v>
      </c>
      <c r="AG95" s="22">
        <v>91.621344250499135</v>
      </c>
      <c r="AH95" s="22">
        <v>15.371939861016774</v>
      </c>
      <c r="AI95" s="22">
        <v>48.888229903756141</v>
      </c>
      <c r="AJ95" s="39">
        <f t="shared" si="6"/>
        <v>0.68443521865258594</v>
      </c>
      <c r="AK95" s="16"/>
      <c r="AL95" s="5">
        <f t="shared" si="2"/>
        <v>0.711725597770547</v>
      </c>
      <c r="AM95" s="5"/>
      <c r="AN95" s="22">
        <v>5.9602981197480993</v>
      </c>
      <c r="AP95" s="19">
        <f t="shared" si="9"/>
        <v>50.837542697896204</v>
      </c>
      <c r="AQ95" s="39">
        <f t="shared" si="10"/>
        <v>0.71172559777054689</v>
      </c>
    </row>
    <row r="96" spans="1:44" s="38" customFormat="1">
      <c r="A96" s="38">
        <v>3</v>
      </c>
      <c r="B96" s="38" t="s">
        <v>43</v>
      </c>
      <c r="C96" s="45" t="s">
        <v>0</v>
      </c>
      <c r="D96" s="36">
        <v>40022</v>
      </c>
      <c r="E96" s="46">
        <v>0.33333333333333331</v>
      </c>
      <c r="F96" s="38">
        <v>3.2</v>
      </c>
      <c r="G96" s="38">
        <v>1.3</v>
      </c>
      <c r="H96" s="19">
        <f t="shared" si="11"/>
        <v>1.9000000000000001</v>
      </c>
      <c r="I96" s="16"/>
      <c r="J96" s="47"/>
      <c r="K96" s="20">
        <v>24.4</v>
      </c>
      <c r="L96" s="19">
        <v>4.8166509961856017</v>
      </c>
      <c r="M96" s="38">
        <v>5.72</v>
      </c>
      <c r="N96" s="17"/>
      <c r="O96" s="38" t="s">
        <v>63</v>
      </c>
      <c r="P96" s="38">
        <v>1</v>
      </c>
      <c r="Q96" s="38" t="s">
        <v>69</v>
      </c>
      <c r="S96" s="21">
        <v>30.1</v>
      </c>
      <c r="T96" s="20">
        <v>0.82088405797101438</v>
      </c>
      <c r="U96" s="20">
        <v>1.2298366440890203</v>
      </c>
      <c r="V96" s="19">
        <f t="shared" si="12"/>
        <v>1.7217713017246283E-2</v>
      </c>
      <c r="W96" s="22">
        <v>0.45780590717299574</v>
      </c>
      <c r="X96" s="19">
        <f t="shared" si="12"/>
        <v>6.4092827004219406E-3</v>
      </c>
      <c r="Y96" s="19">
        <v>1.6876425512620159</v>
      </c>
      <c r="Z96" s="16"/>
      <c r="AA96" s="22">
        <v>46.030999799295238</v>
      </c>
      <c r="AB96" s="32">
        <v>6.4596341772151886</v>
      </c>
      <c r="AC96" s="32">
        <v>1.593015515493148</v>
      </c>
      <c r="AD96" s="19">
        <v>8.0526496927083357</v>
      </c>
      <c r="AE96" s="16"/>
      <c r="AF96" s="34">
        <v>0.80217498881944149</v>
      </c>
      <c r="AG96" s="22">
        <v>112.76449181750756</v>
      </c>
      <c r="AH96" s="22">
        <v>19.290115990876789</v>
      </c>
      <c r="AI96" s="22">
        <v>65.32111579017203</v>
      </c>
      <c r="AJ96" s="39">
        <f t="shared" si="6"/>
        <v>0.91449562106240845</v>
      </c>
      <c r="AK96" s="16"/>
      <c r="AL96" s="5">
        <f t="shared" ref="AL96:AL116" si="13">SUM(Y96+AA96+AH96)*0.014</f>
        <v>0.93812261678007669</v>
      </c>
      <c r="AM96" s="5"/>
      <c r="AN96" s="22">
        <v>5.8457135183033238</v>
      </c>
      <c r="AP96" s="19">
        <f t="shared" si="9"/>
        <v>67.008758341434046</v>
      </c>
      <c r="AQ96" s="39">
        <f t="shared" si="10"/>
        <v>0.93812261678007669</v>
      </c>
    </row>
    <row r="97" spans="1:49" s="38" customFormat="1" hidden="1">
      <c r="A97" s="38">
        <v>3</v>
      </c>
      <c r="B97" s="38" t="s">
        <v>44</v>
      </c>
      <c r="C97" s="45" t="s">
        <v>0</v>
      </c>
      <c r="D97" s="36">
        <v>40022</v>
      </c>
      <c r="E97" s="46">
        <v>0.33333333333333331</v>
      </c>
      <c r="H97" s="19">
        <f t="shared" si="11"/>
        <v>0</v>
      </c>
      <c r="I97" s="16"/>
      <c r="J97" s="47"/>
      <c r="K97" s="20">
        <v>24.3</v>
      </c>
      <c r="L97" s="19">
        <v>4.7231096730972268</v>
      </c>
      <c r="M97" s="38">
        <v>5.6</v>
      </c>
      <c r="N97" s="17"/>
      <c r="S97" s="21">
        <v>29.8</v>
      </c>
      <c r="T97" s="20">
        <v>0.7673478260869564</v>
      </c>
      <c r="U97" s="20">
        <v>1.0515681029085322</v>
      </c>
      <c r="V97" s="19">
        <f t="shared" si="12"/>
        <v>1.4721953440719452E-2</v>
      </c>
      <c r="W97" s="22">
        <v>0.90237159901062125</v>
      </c>
      <c r="X97" s="19">
        <f t="shared" si="12"/>
        <v>1.2633202386148698E-2</v>
      </c>
      <c r="Y97" s="19">
        <v>1.9539397019191536</v>
      </c>
      <c r="Z97" s="16"/>
      <c r="AA97" s="22">
        <v>85.997970706512987</v>
      </c>
      <c r="AB97" s="32">
        <v>8.3297310126582271</v>
      </c>
      <c r="AC97" s="32">
        <v>1.836282180050109</v>
      </c>
      <c r="AD97" s="19">
        <v>10.166013192708336</v>
      </c>
      <c r="AE97" s="16"/>
      <c r="AF97" s="34">
        <v>0.81937047048422107</v>
      </c>
      <c r="AG97" s="22">
        <v>107.44830203315522</v>
      </c>
      <c r="AH97" s="22">
        <v>18.57660260022805</v>
      </c>
      <c r="AI97" s="22">
        <v>104.57457330674103</v>
      </c>
      <c r="AJ97" s="39">
        <f t="shared" si="6"/>
        <v>1.4640440262943744</v>
      </c>
      <c r="AK97" s="16"/>
      <c r="AL97" s="5">
        <f t="shared" si="13"/>
        <v>1.4913991821212427</v>
      </c>
      <c r="AM97" s="5"/>
      <c r="AN97" s="22">
        <v>5.7840663519300435</v>
      </c>
      <c r="AP97" s="19">
        <f t="shared" si="9"/>
        <v>106.52851300866018</v>
      </c>
      <c r="AQ97" s="39">
        <f t="shared" si="10"/>
        <v>1.4913991821212427</v>
      </c>
    </row>
    <row r="98" spans="1:49" s="38" customFormat="1">
      <c r="A98" s="38">
        <v>3</v>
      </c>
      <c r="B98" s="38" t="s">
        <v>43</v>
      </c>
      <c r="C98" s="45" t="s">
        <v>0</v>
      </c>
      <c r="D98" s="36">
        <v>40037</v>
      </c>
      <c r="E98" s="46">
        <v>0.33333333333333331</v>
      </c>
      <c r="F98" s="38">
        <v>3</v>
      </c>
      <c r="G98" s="38">
        <v>1.4</v>
      </c>
      <c r="H98" s="19">
        <f t="shared" si="11"/>
        <v>1.6</v>
      </c>
      <c r="I98" s="16"/>
      <c r="J98" s="47"/>
      <c r="K98" s="20">
        <v>25.1</v>
      </c>
      <c r="L98" s="19">
        <v>5.4551110398428113</v>
      </c>
      <c r="M98" s="38">
        <v>6.48</v>
      </c>
      <c r="N98" s="17"/>
      <c r="O98" s="38" t="s">
        <v>63</v>
      </c>
      <c r="P98" s="38">
        <v>1</v>
      </c>
      <c r="Q98" s="38" t="s">
        <v>61</v>
      </c>
      <c r="S98" s="21">
        <v>30.3</v>
      </c>
      <c r="T98" s="20">
        <v>0.61895349605155181</v>
      </c>
      <c r="U98" s="20">
        <v>4.482879866052742</v>
      </c>
      <c r="V98" s="19">
        <f t="shared" si="12"/>
        <v>6.2760318124738396E-2</v>
      </c>
      <c r="W98" s="22">
        <v>0.37775352829914155</v>
      </c>
      <c r="X98" s="19">
        <f t="shared" si="12"/>
        <v>5.2885493961879818E-3</v>
      </c>
      <c r="Y98" s="19">
        <v>4.8606333943518836</v>
      </c>
      <c r="Z98" s="16"/>
      <c r="AA98" s="22">
        <v>30.604969442527551</v>
      </c>
      <c r="AB98" s="32">
        <v>4.2582740506329113</v>
      </c>
      <c r="AC98" s="32">
        <v>2.2348381420754229</v>
      </c>
      <c r="AD98" s="19">
        <v>6.4931121927083346</v>
      </c>
      <c r="AE98" s="16"/>
      <c r="AF98" s="34">
        <v>0.65581402634854946</v>
      </c>
      <c r="AG98" s="22">
        <v>89.656401635536042</v>
      </c>
      <c r="AH98" s="22">
        <v>12.652491961246405</v>
      </c>
      <c r="AI98" s="22">
        <v>43.257461403773959</v>
      </c>
      <c r="AJ98" s="39">
        <f t="shared" si="6"/>
        <v>0.60560445965283549</v>
      </c>
      <c r="AK98" s="16"/>
      <c r="AL98" s="5">
        <f t="shared" si="13"/>
        <v>0.67365332717376181</v>
      </c>
      <c r="AM98" s="5"/>
      <c r="AN98" s="22">
        <v>7.0860666744659158</v>
      </c>
      <c r="AP98" s="19">
        <f t="shared" si="9"/>
        <v>48.118094798125846</v>
      </c>
      <c r="AQ98" s="39">
        <f t="shared" si="10"/>
        <v>0.67365332717376181</v>
      </c>
    </row>
    <row r="99" spans="1:49" s="38" customFormat="1" hidden="1">
      <c r="A99" s="38">
        <v>3</v>
      </c>
      <c r="B99" s="38" t="s">
        <v>44</v>
      </c>
      <c r="C99" s="45" t="s">
        <v>0</v>
      </c>
      <c r="D99" s="36">
        <v>40037</v>
      </c>
      <c r="E99" s="46">
        <v>0.33333333333333331</v>
      </c>
      <c r="H99" s="19">
        <f t="shared" si="11"/>
        <v>0</v>
      </c>
      <c r="I99" s="16"/>
      <c r="J99" s="47"/>
      <c r="K99" s="20">
        <v>24.9</v>
      </c>
      <c r="L99" s="19">
        <v>1.8757700330873339</v>
      </c>
      <c r="M99" s="38">
        <v>2.23</v>
      </c>
      <c r="N99" s="17"/>
      <c r="S99" s="21">
        <v>30.4</v>
      </c>
      <c r="T99" s="20">
        <v>0.75835998653973791</v>
      </c>
      <c r="U99" s="20">
        <v>3.7334449560485563</v>
      </c>
      <c r="V99" s="19">
        <f t="shared" si="12"/>
        <v>5.2268229384679787E-2</v>
      </c>
      <c r="W99" s="22">
        <v>0.39343809108104177</v>
      </c>
      <c r="X99" s="19">
        <f t="shared" si="12"/>
        <v>5.5081332751345854E-3</v>
      </c>
      <c r="Y99" s="19">
        <v>4.1268830471295983</v>
      </c>
      <c r="Z99" s="16"/>
      <c r="AA99" s="22">
        <v>43.876713710722477</v>
      </c>
      <c r="AB99" s="32">
        <v>5.049839240506329</v>
      </c>
      <c r="AC99" s="32">
        <v>2.0564374522020046</v>
      </c>
      <c r="AD99" s="19">
        <v>7.1062766927083336</v>
      </c>
      <c r="AE99" s="16"/>
      <c r="AF99" s="34">
        <v>0.71061674894926474</v>
      </c>
      <c r="AG99" s="22">
        <v>92.658833951199654</v>
      </c>
      <c r="AH99" s="22">
        <v>15.531255475349486</v>
      </c>
      <c r="AI99" s="22">
        <v>59.407969186071966</v>
      </c>
      <c r="AJ99" s="39">
        <f t="shared" si="6"/>
        <v>0.8317115686050075</v>
      </c>
      <c r="AK99" s="16"/>
      <c r="AL99" s="5">
        <f t="shared" si="13"/>
        <v>0.88948793126482184</v>
      </c>
      <c r="AM99" s="5"/>
      <c r="AN99" s="22">
        <v>5.965959036490232</v>
      </c>
      <c r="AP99" s="19">
        <f t="shared" si="9"/>
        <v>63.534852233201562</v>
      </c>
      <c r="AQ99" s="39">
        <f t="shared" si="10"/>
        <v>0.88948793126482184</v>
      </c>
    </row>
    <row r="100" spans="1:49" s="49" customFormat="1">
      <c r="A100" s="38">
        <v>3</v>
      </c>
      <c r="B100" s="38" t="s">
        <v>43</v>
      </c>
      <c r="C100" s="45" t="s">
        <v>0</v>
      </c>
      <c r="D100" s="36">
        <v>40051</v>
      </c>
      <c r="E100" s="46">
        <v>0.33333333333333331</v>
      </c>
      <c r="F100" s="38">
        <v>3.3</v>
      </c>
      <c r="G100" s="38">
        <v>1.35</v>
      </c>
      <c r="H100" s="19">
        <f t="shared" si="11"/>
        <v>1.9499999999999997</v>
      </c>
      <c r="I100" s="38"/>
      <c r="J100" s="38"/>
      <c r="K100" s="20">
        <v>26.2</v>
      </c>
      <c r="L100" s="19">
        <v>4.046217937462278</v>
      </c>
      <c r="M100" s="38">
        <v>4.8</v>
      </c>
      <c r="N100" s="40"/>
      <c r="O100" s="38" t="s">
        <v>63</v>
      </c>
      <c r="P100" s="38">
        <v>1</v>
      </c>
      <c r="Q100" s="38" t="s">
        <v>53</v>
      </c>
      <c r="R100" s="38"/>
      <c r="S100" s="21">
        <v>30.3</v>
      </c>
      <c r="T100" s="20">
        <v>0.78652384117416774</v>
      </c>
      <c r="U100" s="20">
        <v>0.19021927094141322</v>
      </c>
      <c r="V100" s="19">
        <f t="shared" si="12"/>
        <v>2.663069793179785E-3</v>
      </c>
      <c r="W100" s="22">
        <v>0.87079877782627668</v>
      </c>
      <c r="X100" s="19">
        <f t="shared" si="12"/>
        <v>1.2191182889567874E-2</v>
      </c>
      <c r="Y100" s="19">
        <v>1.0610180487676899</v>
      </c>
      <c r="Z100" s="48"/>
      <c r="AA100" s="22">
        <v>62.582591964407534</v>
      </c>
      <c r="AB100" s="32">
        <v>6.6425993670886072</v>
      </c>
      <c r="AC100" s="32">
        <v>1.8543283256197274</v>
      </c>
      <c r="AD100" s="19">
        <v>8.4969276927083346</v>
      </c>
      <c r="AE100" s="20"/>
      <c r="AF100" s="34">
        <v>0.78176484575583416</v>
      </c>
      <c r="AG100" s="22">
        <v>69.603222322490765</v>
      </c>
      <c r="AH100" s="22">
        <v>11.702220714745181</v>
      </c>
      <c r="AI100" s="22">
        <v>74.284812679152708</v>
      </c>
      <c r="AJ100" s="39">
        <f t="shared" si="6"/>
        <v>1.0399873775081379</v>
      </c>
      <c r="AK100" s="22"/>
      <c r="AL100" s="5">
        <f t="shared" si="13"/>
        <v>1.0548416301908856</v>
      </c>
      <c r="AM100" s="22"/>
      <c r="AN100" s="22">
        <v>5.9478644283976312</v>
      </c>
      <c r="AO100" s="22"/>
      <c r="AP100" s="19">
        <f t="shared" si="9"/>
        <v>75.345830727920401</v>
      </c>
      <c r="AQ100" s="39">
        <f t="shared" si="10"/>
        <v>1.0548416301908856</v>
      </c>
      <c r="AR100" s="19"/>
      <c r="AS100" s="38"/>
    </row>
    <row r="101" spans="1:49" s="49" customFormat="1" hidden="1">
      <c r="A101" s="38">
        <v>3</v>
      </c>
      <c r="B101" s="38" t="s">
        <v>44</v>
      </c>
      <c r="C101" s="45" t="s">
        <v>0</v>
      </c>
      <c r="D101" s="36">
        <v>40051</v>
      </c>
      <c r="E101" s="46">
        <v>0.33333333333333331</v>
      </c>
      <c r="F101" s="38"/>
      <c r="G101" s="38"/>
      <c r="H101" s="19">
        <f t="shared" si="11"/>
        <v>0</v>
      </c>
      <c r="I101" s="16">
        <f>SUM(G94:G101)/4</f>
        <v>1.3975</v>
      </c>
      <c r="J101" s="38"/>
      <c r="K101" s="20">
        <v>26.2</v>
      </c>
      <c r="L101" s="19">
        <v>2.5681368175598447</v>
      </c>
      <c r="M101" s="38">
        <v>3.05</v>
      </c>
      <c r="N101" s="16">
        <f>SUM(L94:L101)/8</f>
        <v>4.0830034652792699</v>
      </c>
      <c r="O101" s="38"/>
      <c r="P101" s="38"/>
      <c r="Q101" s="38"/>
      <c r="R101" s="35"/>
      <c r="S101" s="21">
        <v>30.5</v>
      </c>
      <c r="T101" s="20">
        <v>1.4165208365579847</v>
      </c>
      <c r="U101" s="20">
        <v>2.4756865186414885</v>
      </c>
      <c r="V101" s="19">
        <f t="shared" si="12"/>
        <v>3.4659611260980841E-2</v>
      </c>
      <c r="W101" s="22">
        <v>0.38182744071002472</v>
      </c>
      <c r="X101" s="19">
        <f t="shared" si="12"/>
        <v>5.3455841699403461E-3</v>
      </c>
      <c r="Y101" s="19">
        <v>2.8575139593515133</v>
      </c>
      <c r="Z101" s="16">
        <f>SUM(Y94:Y101)/8</f>
        <v>2.4360443419606312</v>
      </c>
      <c r="AA101" s="22">
        <v>30.613408026464086</v>
      </c>
      <c r="AB101" s="32">
        <v>4.4739803797468358</v>
      </c>
      <c r="AC101" s="32">
        <v>2.1165078129614998</v>
      </c>
      <c r="AD101" s="19">
        <v>6.5904881927083352</v>
      </c>
      <c r="AE101" s="16">
        <f>SUM(AD94:AD101)/8</f>
        <v>10.817104250000002</v>
      </c>
      <c r="AF101" s="34">
        <v>0.67885416814748456</v>
      </c>
      <c r="AG101" s="22">
        <v>67.24033628403707</v>
      </c>
      <c r="AH101" s="22">
        <v>12.453028981947924</v>
      </c>
      <c r="AI101" s="22">
        <v>43.066437008412009</v>
      </c>
      <c r="AJ101" s="39">
        <f t="shared" si="6"/>
        <v>0.6029301181177682</v>
      </c>
      <c r="AK101" s="16">
        <f>SUM(AJ94:AJ101)/8</f>
        <v>0.82740626991033439</v>
      </c>
      <c r="AL101" s="5">
        <f t="shared" si="13"/>
        <v>0.64293531354868938</v>
      </c>
      <c r="AM101" s="16">
        <f>SUM(AL94:AL101)/8</f>
        <v>0.86151089069778319</v>
      </c>
      <c r="AN101" s="22">
        <v>5.3995165659302291</v>
      </c>
      <c r="AO101" s="22"/>
      <c r="AP101" s="19">
        <f t="shared" si="9"/>
        <v>45.923950967763524</v>
      </c>
      <c r="AQ101" s="39">
        <f t="shared" si="10"/>
        <v>0.64293531354868938</v>
      </c>
      <c r="AR101" s="19"/>
      <c r="AS101" s="44"/>
    </row>
    <row r="102" spans="1:49" s="49" customFormat="1">
      <c r="A102" s="38">
        <v>3</v>
      </c>
      <c r="B102" s="38" t="s">
        <v>43</v>
      </c>
      <c r="C102" s="45" t="s">
        <v>0</v>
      </c>
      <c r="D102" s="36">
        <v>40360</v>
      </c>
      <c r="E102" s="46">
        <v>0.34375</v>
      </c>
      <c r="F102" s="37">
        <v>3</v>
      </c>
      <c r="G102" s="37">
        <v>1.4</v>
      </c>
      <c r="H102" s="19">
        <f t="shared" si="11"/>
        <v>1.6</v>
      </c>
      <c r="I102" s="38"/>
      <c r="J102" s="38">
        <v>0.5</v>
      </c>
      <c r="K102" s="20">
        <v>23.8</v>
      </c>
      <c r="L102" s="19">
        <v>3.8622283837965741</v>
      </c>
      <c r="M102" s="38"/>
      <c r="N102" s="40"/>
      <c r="O102" s="38"/>
      <c r="P102" s="38">
        <v>3</v>
      </c>
      <c r="Q102" s="38" t="s">
        <v>54</v>
      </c>
      <c r="R102" s="38" t="s">
        <v>67</v>
      </c>
      <c r="S102" s="21">
        <v>30.1</v>
      </c>
      <c r="T102" s="20">
        <v>0.15117759388924246</v>
      </c>
      <c r="U102" s="21">
        <v>1.9405844925343207</v>
      </c>
      <c r="V102" s="19">
        <f t="shared" si="12"/>
        <v>2.7168182895480491E-2</v>
      </c>
      <c r="W102" s="50">
        <v>0.58726207906295746</v>
      </c>
      <c r="X102" s="19">
        <f t="shared" si="12"/>
        <v>8.2216691068814039E-3</v>
      </c>
      <c r="Y102" s="50">
        <v>2.5278465715972782</v>
      </c>
      <c r="Z102" s="48"/>
      <c r="AA102" s="50">
        <v>39.796551334161883</v>
      </c>
      <c r="AB102" s="22">
        <v>10.780275000000001</v>
      </c>
      <c r="AC102" s="22">
        <v>4.0607045000000008</v>
      </c>
      <c r="AD102" s="22">
        <v>14.840979500000003</v>
      </c>
      <c r="AE102" s="48"/>
      <c r="AF102" s="22">
        <v>0.72638568094511546</v>
      </c>
      <c r="AG102" s="22">
        <v>107.39515647375973</v>
      </c>
      <c r="AH102" s="22">
        <v>16.073765235392294</v>
      </c>
      <c r="AI102" s="22">
        <v>55.870316569554177</v>
      </c>
      <c r="AJ102" s="19">
        <f t="shared" si="6"/>
        <v>0.78218443197375853</v>
      </c>
      <c r="AK102" s="48"/>
      <c r="AL102" s="5">
        <f t="shared" si="13"/>
        <v>0.81757428397612042</v>
      </c>
      <c r="AM102" s="48"/>
      <c r="AN102" s="22">
        <v>6.6813938676477536</v>
      </c>
      <c r="AO102" s="22"/>
      <c r="AP102" s="19">
        <f t="shared" si="9"/>
        <v>58.398163141151457</v>
      </c>
      <c r="AQ102" s="39">
        <f t="shared" si="10"/>
        <v>0.81757428397612042</v>
      </c>
      <c r="AR102" s="19"/>
      <c r="AS102" s="44"/>
    </row>
    <row r="103" spans="1:49" s="49" customFormat="1" hidden="1">
      <c r="A103" s="38">
        <v>3</v>
      </c>
      <c r="B103" s="38" t="s">
        <v>44</v>
      </c>
      <c r="C103" s="45" t="s">
        <v>0</v>
      </c>
      <c r="D103" s="36">
        <v>40360</v>
      </c>
      <c r="E103" s="46">
        <v>0.34375</v>
      </c>
      <c r="F103" s="37"/>
      <c r="G103" s="37"/>
      <c r="H103" s="19">
        <f t="shared" si="11"/>
        <v>0</v>
      </c>
      <c r="I103" s="38"/>
      <c r="J103" s="38">
        <v>2.5</v>
      </c>
      <c r="K103" s="20">
        <v>21.6</v>
      </c>
      <c r="L103" s="19">
        <v>3.9702958122552809</v>
      </c>
      <c r="M103" s="38"/>
      <c r="N103" s="40"/>
      <c r="O103" s="38"/>
      <c r="P103" s="38"/>
      <c r="Q103" s="38"/>
      <c r="R103" s="38"/>
      <c r="S103" s="21">
        <v>30.4</v>
      </c>
      <c r="T103" s="20">
        <v>0.40897517504774039</v>
      </c>
      <c r="U103" s="21">
        <v>0.37131501704618008</v>
      </c>
      <c r="V103" s="19">
        <f t="shared" si="12"/>
        <v>5.1984102386465215E-3</v>
      </c>
      <c r="W103" s="50">
        <v>0.36486090775988284</v>
      </c>
      <c r="X103" s="19">
        <f t="shared" si="12"/>
        <v>5.1080527086383599E-3</v>
      </c>
      <c r="Y103" s="50">
        <v>0.73617592480606286</v>
      </c>
      <c r="Z103" s="48"/>
      <c r="AA103" s="50">
        <v>21.94489737362326</v>
      </c>
      <c r="AB103" s="22">
        <v>12.910375000000002</v>
      </c>
      <c r="AC103" s="22">
        <v>4.440631999999999</v>
      </c>
      <c r="AD103" s="22">
        <v>17.351007000000003</v>
      </c>
      <c r="AE103" s="48"/>
      <c r="AF103" s="22">
        <v>0.74407064673537393</v>
      </c>
      <c r="AG103" s="22">
        <v>119.90468511059788</v>
      </c>
      <c r="AH103" s="22">
        <v>19.168361786352872</v>
      </c>
      <c r="AI103" s="22">
        <v>41.113259159976131</v>
      </c>
      <c r="AJ103" s="19">
        <f t="shared" si="6"/>
        <v>0.57558562823966586</v>
      </c>
      <c r="AK103" s="48"/>
      <c r="AL103" s="5">
        <f t="shared" si="13"/>
        <v>0.58589209118695074</v>
      </c>
      <c r="AM103" s="48"/>
      <c r="AN103" s="22">
        <v>6.2553433854720621</v>
      </c>
      <c r="AO103" s="22"/>
      <c r="AP103" s="19">
        <f t="shared" si="9"/>
        <v>41.849435084782193</v>
      </c>
      <c r="AQ103" s="39">
        <f t="shared" si="10"/>
        <v>0.58589209118695074</v>
      </c>
      <c r="AR103" s="19"/>
      <c r="AS103" s="44"/>
    </row>
    <row r="104" spans="1:49" s="49" customFormat="1">
      <c r="A104" s="38">
        <v>3</v>
      </c>
      <c r="B104" s="38" t="s">
        <v>43</v>
      </c>
      <c r="C104" s="45" t="s">
        <v>0</v>
      </c>
      <c r="D104" s="36">
        <v>40374</v>
      </c>
      <c r="E104" s="46">
        <v>0.33680555555555558</v>
      </c>
      <c r="F104" s="37">
        <v>2.25</v>
      </c>
      <c r="G104" s="37">
        <v>1.6</v>
      </c>
      <c r="H104" s="19">
        <f t="shared" si="11"/>
        <v>0.64999999999999991</v>
      </c>
      <c r="I104" s="38"/>
      <c r="J104" s="38">
        <v>0.5</v>
      </c>
      <c r="K104" s="20">
        <v>25.5</v>
      </c>
      <c r="L104" s="19">
        <v>5.0030366463147544</v>
      </c>
      <c r="M104" s="38"/>
      <c r="N104" s="40"/>
      <c r="O104" s="38"/>
      <c r="P104" s="38">
        <v>1</v>
      </c>
      <c r="Q104" s="38" t="s">
        <v>50</v>
      </c>
      <c r="R104" s="38" t="s">
        <v>67</v>
      </c>
      <c r="S104" s="21">
        <v>30</v>
      </c>
      <c r="T104" s="20">
        <v>0.67171280674494083</v>
      </c>
      <c r="U104" s="21">
        <v>1.08650391524643</v>
      </c>
      <c r="V104" s="19">
        <f t="shared" si="12"/>
        <v>1.5211054813450021E-2</v>
      </c>
      <c r="W104" s="50">
        <v>0.63645680819912143</v>
      </c>
      <c r="X104" s="19">
        <f t="shared" si="12"/>
        <v>8.9103953147877009E-3</v>
      </c>
      <c r="Y104" s="50">
        <v>1.7229607234455515</v>
      </c>
      <c r="Z104" s="48"/>
      <c r="AA104" s="50">
        <v>43.546463360324083</v>
      </c>
      <c r="AB104" s="22">
        <v>10.46255</v>
      </c>
      <c r="AC104" s="22">
        <v>3.8905650000000027</v>
      </c>
      <c r="AD104" s="22">
        <v>14.353115000000003</v>
      </c>
      <c r="AE104" s="48"/>
      <c r="AF104" s="22">
        <v>0.72893932780445214</v>
      </c>
      <c r="AG104" s="22">
        <v>90.391896228972001</v>
      </c>
      <c r="AH104" s="22">
        <v>15.334689429082299</v>
      </c>
      <c r="AI104" s="22">
        <v>58.881152789406386</v>
      </c>
      <c r="AJ104" s="19">
        <f t="shared" si="6"/>
        <v>0.82433613905168945</v>
      </c>
      <c r="AK104" s="48"/>
      <c r="AL104" s="5">
        <f t="shared" si="13"/>
        <v>0.8484575891799272</v>
      </c>
      <c r="AM104" s="48"/>
      <c r="AN104" s="22">
        <v>5.8946023424213214</v>
      </c>
      <c r="AO104" s="22"/>
      <c r="AP104" s="19">
        <f t="shared" si="9"/>
        <v>60.604113512851939</v>
      </c>
      <c r="AQ104" s="39">
        <f t="shared" si="10"/>
        <v>0.8484575891799272</v>
      </c>
      <c r="AR104" s="19"/>
      <c r="AS104" s="44"/>
    </row>
    <row r="105" spans="1:49" s="49" customFormat="1" hidden="1">
      <c r="A105" s="38">
        <v>3</v>
      </c>
      <c r="B105" s="38" t="s">
        <v>44</v>
      </c>
      <c r="C105" s="45" t="s">
        <v>0</v>
      </c>
      <c r="D105" s="36">
        <v>40374</v>
      </c>
      <c r="E105" s="46">
        <v>0.33680555555555558</v>
      </c>
      <c r="F105" s="37"/>
      <c r="G105" s="37"/>
      <c r="H105" s="19">
        <f t="shared" si="11"/>
        <v>0</v>
      </c>
      <c r="I105" s="38"/>
      <c r="J105" s="38">
        <v>1.75</v>
      </c>
      <c r="K105" s="20">
        <v>25.4</v>
      </c>
      <c r="L105" s="19">
        <v>4.4768743218941252</v>
      </c>
      <c r="M105" s="38"/>
      <c r="N105" s="40"/>
      <c r="O105" s="38"/>
      <c r="P105" s="38"/>
      <c r="Q105" s="38"/>
      <c r="R105" s="38"/>
      <c r="S105" s="21">
        <v>30.1</v>
      </c>
      <c r="T105" s="20">
        <v>0.58912957531513466</v>
      </c>
      <c r="U105" s="21">
        <v>1.6138185168125285</v>
      </c>
      <c r="V105" s="19">
        <f t="shared" si="12"/>
        <v>2.2593459235375399E-2</v>
      </c>
      <c r="W105" s="50">
        <v>0.44172767203513907</v>
      </c>
      <c r="X105" s="19">
        <f t="shared" si="12"/>
        <v>6.1841874084919476E-3</v>
      </c>
      <c r="Y105" s="50">
        <v>2.0555461888476678</v>
      </c>
      <c r="Z105" s="48"/>
      <c r="AA105" s="50">
        <v>21.980239151466471</v>
      </c>
      <c r="AB105" s="22">
        <v>10.825025</v>
      </c>
      <c r="AC105" s="22">
        <v>3.8710092499999993</v>
      </c>
      <c r="AD105" s="22">
        <v>14.69603425</v>
      </c>
      <c r="AE105" s="48"/>
      <c r="AF105" s="22">
        <v>0.73659497629436999</v>
      </c>
      <c r="AG105" s="22">
        <v>84.985768275363554</v>
      </c>
      <c r="AH105" s="22">
        <v>14.001632453283898</v>
      </c>
      <c r="AI105" s="22">
        <v>35.981871604750367</v>
      </c>
      <c r="AJ105" s="19">
        <f t="shared" si="6"/>
        <v>0.50374620246650514</v>
      </c>
      <c r="AK105" s="48"/>
      <c r="AL105" s="5">
        <f t="shared" si="13"/>
        <v>0.53252384911037254</v>
      </c>
      <c r="AM105" s="48"/>
      <c r="AN105" s="22">
        <v>6.0697042690498035</v>
      </c>
      <c r="AO105" s="22"/>
      <c r="AP105" s="19">
        <f t="shared" si="9"/>
        <v>38.037417793598038</v>
      </c>
      <c r="AQ105" s="39">
        <f t="shared" si="10"/>
        <v>0.53252384911037254</v>
      </c>
      <c r="AR105" s="19"/>
      <c r="AS105" s="44"/>
    </row>
    <row r="106" spans="1:49" s="38" customFormat="1">
      <c r="A106" s="38">
        <v>3</v>
      </c>
      <c r="B106" s="38" t="s">
        <v>43</v>
      </c>
      <c r="C106" s="45" t="s">
        <v>0</v>
      </c>
      <c r="D106" s="36">
        <v>40393</v>
      </c>
      <c r="E106" s="38" t="s">
        <v>47</v>
      </c>
      <c r="F106" s="37">
        <v>3.1</v>
      </c>
      <c r="G106" s="37">
        <v>1.575</v>
      </c>
      <c r="H106" s="19">
        <f t="shared" si="11"/>
        <v>1.5250000000000001</v>
      </c>
      <c r="I106" s="16"/>
      <c r="J106" s="38">
        <v>0.5</v>
      </c>
      <c r="K106" s="20">
        <v>24.2</v>
      </c>
      <c r="L106" s="19">
        <v>5.7685811040231219</v>
      </c>
      <c r="M106" s="21"/>
      <c r="N106" s="17"/>
      <c r="O106" s="19"/>
      <c r="P106" s="38">
        <v>4</v>
      </c>
      <c r="Q106" s="38" t="s">
        <v>53</v>
      </c>
      <c r="R106" s="38" t="s">
        <v>63</v>
      </c>
      <c r="S106" s="21">
        <v>30.3</v>
      </c>
      <c r="T106" s="20">
        <v>0.70461954361135426</v>
      </c>
      <c r="U106" s="21">
        <v>0.71276981099912606</v>
      </c>
      <c r="V106" s="19">
        <f t="shared" ref="V106:X116" si="14">U106*0.014</f>
        <v>9.9787773539877656E-3</v>
      </c>
      <c r="W106" s="50">
        <v>0.3500294985250737</v>
      </c>
      <c r="X106" s="19">
        <f t="shared" si="14"/>
        <v>4.9004129793510315E-3</v>
      </c>
      <c r="Y106" s="50">
        <v>1.0627993095241997</v>
      </c>
      <c r="Z106" s="16"/>
      <c r="AA106" s="50">
        <v>61.28791062784714</v>
      </c>
      <c r="AB106" s="22">
        <v>10.507300000000001</v>
      </c>
      <c r="AC106" s="22">
        <v>2.824127750000001</v>
      </c>
      <c r="AD106" s="22">
        <v>13.331427750000001</v>
      </c>
      <c r="AE106" s="16"/>
      <c r="AF106" s="22">
        <v>0.78816014286241765</v>
      </c>
      <c r="AG106" s="22">
        <v>105.98166056030799</v>
      </c>
      <c r="AH106" s="22">
        <v>16.667746404880699</v>
      </c>
      <c r="AI106" s="22">
        <v>77.955657032727842</v>
      </c>
      <c r="AJ106" s="19">
        <f t="shared" si="6"/>
        <v>1.0913791984581898</v>
      </c>
      <c r="AK106" s="16"/>
      <c r="AL106" s="5">
        <f t="shared" si="13"/>
        <v>1.1062583887915285</v>
      </c>
      <c r="AM106" s="16"/>
      <c r="AN106" s="22">
        <v>6.3584877034890646</v>
      </c>
      <c r="AP106" s="19">
        <f t="shared" si="9"/>
        <v>79.018456342252037</v>
      </c>
      <c r="AQ106" s="39">
        <f t="shared" si="10"/>
        <v>1.1062583887915285</v>
      </c>
    </row>
    <row r="107" spans="1:49" s="38" customFormat="1" hidden="1">
      <c r="A107" s="38">
        <v>3</v>
      </c>
      <c r="B107" s="38" t="s">
        <v>44</v>
      </c>
      <c r="C107" s="45" t="s">
        <v>0</v>
      </c>
      <c r="D107" s="36">
        <v>40393</v>
      </c>
      <c r="E107" s="38" t="s">
        <v>47</v>
      </c>
      <c r="F107" s="37"/>
      <c r="G107" s="37"/>
      <c r="H107" s="19">
        <f t="shared" si="11"/>
        <v>0</v>
      </c>
      <c r="I107" s="16"/>
      <c r="J107" s="38">
        <v>2.5</v>
      </c>
      <c r="K107" s="20">
        <v>24</v>
      </c>
      <c r="L107" s="19">
        <v>4.9543966079129547</v>
      </c>
      <c r="M107" s="21"/>
      <c r="N107" s="17"/>
      <c r="O107" s="19"/>
      <c r="S107" s="21">
        <v>30.5</v>
      </c>
      <c r="T107" s="20">
        <v>0.57214984268335645</v>
      </c>
      <c r="U107" s="21">
        <v>2.9330293409473485</v>
      </c>
      <c r="V107" s="19">
        <f t="shared" si="14"/>
        <v>4.1062410773262878E-2</v>
      </c>
      <c r="W107" s="50">
        <v>0.62684365781710905</v>
      </c>
      <c r="X107" s="19">
        <f t="shared" si="14"/>
        <v>8.7758112094395262E-3</v>
      </c>
      <c r="Y107" s="50">
        <v>3.5598729987644573</v>
      </c>
      <c r="Z107" s="16"/>
      <c r="AA107" s="50">
        <v>57.017088416730665</v>
      </c>
      <c r="AB107" s="22">
        <v>13.326550000000001</v>
      </c>
      <c r="AC107" s="22">
        <v>4.5688854999999977</v>
      </c>
      <c r="AD107" s="22">
        <v>17.895435499999998</v>
      </c>
      <c r="AE107" s="16"/>
      <c r="AF107" s="22">
        <v>0.74468989592346058</v>
      </c>
      <c r="AG107" s="22">
        <v>158.28280541382225</v>
      </c>
      <c r="AH107" s="22">
        <v>24.348693741623869</v>
      </c>
      <c r="AI107" s="22">
        <v>81.365782158354534</v>
      </c>
      <c r="AJ107" s="19">
        <f t="shared" si="6"/>
        <v>1.1391209502169635</v>
      </c>
      <c r="AK107" s="16"/>
      <c r="AL107" s="5">
        <f t="shared" si="13"/>
        <v>1.188959172199666</v>
      </c>
      <c r="AM107" s="16"/>
      <c r="AN107" s="22">
        <v>6.5006692799802739</v>
      </c>
      <c r="AP107" s="19">
        <f t="shared" si="9"/>
        <v>84.925655157118996</v>
      </c>
      <c r="AQ107" s="39">
        <f t="shared" si="10"/>
        <v>1.188959172199666</v>
      </c>
    </row>
    <row r="108" spans="1:49" s="38" customFormat="1">
      <c r="A108" s="38">
        <v>3</v>
      </c>
      <c r="B108" s="38" t="s">
        <v>43</v>
      </c>
      <c r="C108" s="45" t="s">
        <v>0</v>
      </c>
      <c r="D108" s="36">
        <v>40407</v>
      </c>
      <c r="E108" s="38" t="s">
        <v>47</v>
      </c>
      <c r="F108" s="37">
        <v>3</v>
      </c>
      <c r="G108" s="37">
        <v>1.3</v>
      </c>
      <c r="H108" s="19">
        <f t="shared" si="11"/>
        <v>1.7</v>
      </c>
      <c r="I108" s="16"/>
      <c r="J108" s="38">
        <v>0.5</v>
      </c>
      <c r="K108" s="20">
        <v>23.5</v>
      </c>
      <c r="L108" s="19"/>
      <c r="M108" s="21"/>
      <c r="N108" s="17"/>
      <c r="O108" s="19"/>
      <c r="P108" s="38">
        <v>1</v>
      </c>
      <c r="Q108" s="38" t="s">
        <v>53</v>
      </c>
      <c r="R108" s="38" t="s">
        <v>73</v>
      </c>
      <c r="S108" s="21">
        <v>30.4</v>
      </c>
      <c r="T108" s="20">
        <v>0.65870180823812974</v>
      </c>
      <c r="U108" s="21">
        <v>4.6240720265360924</v>
      </c>
      <c r="V108" s="19">
        <f t="shared" si="14"/>
        <v>6.4737008371505297E-2</v>
      </c>
      <c r="W108" s="50">
        <v>3.2595870206489672</v>
      </c>
      <c r="X108" s="19">
        <f t="shared" si="14"/>
        <v>4.5634218289085544E-2</v>
      </c>
      <c r="Y108" s="50">
        <v>7.8836590471850592</v>
      </c>
      <c r="Z108" s="16"/>
      <c r="AA108" s="50">
        <v>33.773318134963588</v>
      </c>
      <c r="AB108" s="22">
        <v>16.11</v>
      </c>
      <c r="AC108" s="22">
        <v>1.1420200000000031</v>
      </c>
      <c r="AD108" s="22">
        <v>17.252020000000002</v>
      </c>
      <c r="AE108" s="16"/>
      <c r="AF108" s="22">
        <v>0.93380369371238836</v>
      </c>
      <c r="AG108" s="22">
        <v>131.85728522168463</v>
      </c>
      <c r="AH108" s="22">
        <v>22.503646281371989</v>
      </c>
      <c r="AI108" s="22">
        <v>56.276964416335574</v>
      </c>
      <c r="AJ108" s="19">
        <f t="shared" si="6"/>
        <v>0.78787750182869809</v>
      </c>
      <c r="AK108" s="16"/>
      <c r="AL108" s="5">
        <f t="shared" si="13"/>
        <v>0.89824872848928894</v>
      </c>
      <c r="AM108" s="16"/>
      <c r="AN108" s="22">
        <v>5.8593742353137293</v>
      </c>
      <c r="AP108" s="19">
        <f t="shared" si="9"/>
        <v>64.160623463520636</v>
      </c>
      <c r="AQ108" s="39">
        <f t="shared" si="10"/>
        <v>0.89824872848928894</v>
      </c>
    </row>
    <row r="109" spans="1:49" s="49" customFormat="1" hidden="1">
      <c r="A109" s="38">
        <v>3</v>
      </c>
      <c r="B109" s="38" t="s">
        <v>44</v>
      </c>
      <c r="C109" s="45" t="s">
        <v>0</v>
      </c>
      <c r="D109" s="36">
        <v>40407</v>
      </c>
      <c r="E109" s="38" t="s">
        <v>47</v>
      </c>
      <c r="F109" s="38"/>
      <c r="G109" s="36"/>
      <c r="H109" s="19">
        <f t="shared" si="11"/>
        <v>0</v>
      </c>
      <c r="I109" s="16">
        <f>SUM(G102:G109)/4</f>
        <v>1.46875</v>
      </c>
      <c r="J109" s="38">
        <v>2.5</v>
      </c>
      <c r="K109" s="20">
        <v>23.4</v>
      </c>
      <c r="L109" s="19">
        <v>3.8492029426937631</v>
      </c>
      <c r="M109" s="48"/>
      <c r="N109" s="16">
        <f>SUM(L102:L109)/7</f>
        <v>4.554945116984368</v>
      </c>
      <c r="O109" s="38"/>
      <c r="P109" s="38"/>
      <c r="Q109" s="51"/>
      <c r="R109" s="51"/>
      <c r="S109" s="21">
        <v>30.6</v>
      </c>
      <c r="T109" s="20">
        <v>0.76207833897169297</v>
      </c>
      <c r="U109" s="21">
        <v>0.76212288737956113</v>
      </c>
      <c r="V109" s="19">
        <f t="shared" si="14"/>
        <v>1.0669720423313857E-2</v>
      </c>
      <c r="W109" s="50">
        <v>0.26477876106194692</v>
      </c>
      <c r="X109" s="19">
        <f t="shared" si="14"/>
        <v>3.706902654867257E-3</v>
      </c>
      <c r="Y109" s="50">
        <v>1.0269016484415081</v>
      </c>
      <c r="Z109" s="16">
        <f>SUM(Y102:Y109)/8</f>
        <v>2.5719703015764734</v>
      </c>
      <c r="AA109" s="50">
        <v>26.44008735869728</v>
      </c>
      <c r="AB109" s="22">
        <v>7.6254000000000008</v>
      </c>
      <c r="AC109" s="22">
        <v>1.2516127500000023</v>
      </c>
      <c r="AD109" s="22">
        <v>8.8770127500000022</v>
      </c>
      <c r="AE109" s="16">
        <f>SUM(AD102:AD109)/8</f>
        <v>14.824628968750003</v>
      </c>
      <c r="AF109" s="22">
        <v>0.85900518730245135</v>
      </c>
      <c r="AG109" s="22">
        <v>96.041951502084515</v>
      </c>
      <c r="AH109" s="22">
        <v>15.662588970747773</v>
      </c>
      <c r="AI109" s="22">
        <v>42.102676329445053</v>
      </c>
      <c r="AJ109" s="19">
        <f t="shared" si="6"/>
        <v>0.58943746861223079</v>
      </c>
      <c r="AK109" s="16">
        <f>SUM(AJ102:AJ109)/8</f>
        <v>0.78670844010596264</v>
      </c>
      <c r="AL109" s="5">
        <f t="shared" si="13"/>
        <v>0.60381409169041189</v>
      </c>
      <c r="AM109" s="16">
        <f>SUM(AL102:AL109)/8</f>
        <v>0.82271602432803326</v>
      </c>
      <c r="AN109" s="22">
        <v>6.1319333401047054</v>
      </c>
      <c r="AO109" s="22"/>
      <c r="AP109" s="19">
        <f t="shared" si="9"/>
        <v>43.129577977886562</v>
      </c>
      <c r="AQ109" s="39">
        <f t="shared" si="10"/>
        <v>0.60381409169041189</v>
      </c>
      <c r="AR109" s="22"/>
      <c r="AS109" s="22"/>
      <c r="AT109" s="37"/>
      <c r="AU109" s="52"/>
      <c r="AV109" s="52"/>
      <c r="AW109" s="52"/>
    </row>
    <row r="110" spans="1:49" s="49" customFormat="1">
      <c r="A110" s="38">
        <v>3</v>
      </c>
      <c r="B110" s="38" t="s">
        <v>43</v>
      </c>
      <c r="C110" s="45" t="s">
        <v>0</v>
      </c>
      <c r="D110" s="36">
        <v>40731</v>
      </c>
      <c r="E110" s="38" t="s">
        <v>47</v>
      </c>
      <c r="F110" s="38">
        <v>3.5</v>
      </c>
      <c r="G110" s="38">
        <v>1.5</v>
      </c>
      <c r="H110" s="19">
        <f t="shared" si="11"/>
        <v>2</v>
      </c>
      <c r="I110" s="7"/>
      <c r="J110" s="44"/>
      <c r="K110" s="20">
        <v>24.2</v>
      </c>
      <c r="L110" s="19">
        <v>5.3672758086079702</v>
      </c>
      <c r="M110" s="53"/>
      <c r="N110" s="54"/>
      <c r="O110" s="38">
        <v>1</v>
      </c>
      <c r="P110" s="38">
        <v>1</v>
      </c>
      <c r="Q110" s="38" t="s">
        <v>53</v>
      </c>
      <c r="R110" s="38" t="s">
        <v>63</v>
      </c>
      <c r="S110" s="20">
        <v>29.4</v>
      </c>
      <c r="T110" s="20">
        <v>0.15</v>
      </c>
      <c r="U110" s="21">
        <v>1.3182965105544957</v>
      </c>
      <c r="V110" s="19">
        <f t="shared" si="14"/>
        <v>1.8456151147762941E-2</v>
      </c>
      <c r="W110" s="22">
        <v>0.54058624577226611</v>
      </c>
      <c r="X110" s="19">
        <f t="shared" si="14"/>
        <v>7.5682074408117252E-3</v>
      </c>
      <c r="Y110" s="22">
        <v>1.8588827563267618</v>
      </c>
      <c r="Z110" s="53"/>
      <c r="AA110" s="22">
        <v>63.528747434693926</v>
      </c>
      <c r="AB110" s="22">
        <v>9.1031696202531656</v>
      </c>
      <c r="AC110" s="22">
        <v>4.4260978797468331</v>
      </c>
      <c r="AD110" s="19">
        <v>13.5292675</v>
      </c>
      <c r="AE110" s="53"/>
      <c r="AF110" s="55">
        <v>0.67285014656212283</v>
      </c>
      <c r="AG110" s="19">
        <v>121.62069623372741</v>
      </c>
      <c r="AH110" s="19">
        <v>17.730470509522753</v>
      </c>
      <c r="AI110" s="19">
        <v>81.259217944216687</v>
      </c>
      <c r="AJ110" s="19">
        <f t="shared" si="6"/>
        <v>1.1376290512190337</v>
      </c>
      <c r="AK110" s="53"/>
      <c r="AL110" s="5">
        <f t="shared" si="13"/>
        <v>1.1636534098076081</v>
      </c>
      <c r="AM110" s="53"/>
      <c r="AN110" s="19">
        <v>6.8594173047131983</v>
      </c>
      <c r="AO110" s="56"/>
      <c r="AP110" s="19">
        <f t="shared" si="9"/>
        <v>83.118100700543451</v>
      </c>
      <c r="AQ110" s="39">
        <f t="shared" si="10"/>
        <v>1.1636534098076083</v>
      </c>
      <c r="AR110" s="56"/>
      <c r="AS110" s="56"/>
      <c r="AT110" s="57"/>
      <c r="AU110" s="52"/>
      <c r="AV110" s="52"/>
      <c r="AW110" s="52"/>
    </row>
    <row r="111" spans="1:49" s="49" customFormat="1" hidden="1">
      <c r="A111" s="38">
        <v>3</v>
      </c>
      <c r="B111" s="38" t="s">
        <v>44</v>
      </c>
      <c r="C111" s="45" t="s">
        <v>0</v>
      </c>
      <c r="D111" s="36">
        <v>40731</v>
      </c>
      <c r="E111" s="38" t="s">
        <v>47</v>
      </c>
      <c r="F111" s="38">
        <v>3.5</v>
      </c>
      <c r="G111" s="38">
        <v>1.5</v>
      </c>
      <c r="H111" s="19">
        <f t="shared" si="11"/>
        <v>2</v>
      </c>
      <c r="I111" s="7"/>
      <c r="J111" s="44"/>
      <c r="K111" s="20">
        <v>24.1</v>
      </c>
      <c r="L111" s="19">
        <v>3.2885007009480738</v>
      </c>
      <c r="M111" s="58"/>
      <c r="N111" s="59"/>
      <c r="O111" s="38">
        <v>1</v>
      </c>
      <c r="P111" s="38">
        <v>1</v>
      </c>
      <c r="Q111" s="38" t="s">
        <v>53</v>
      </c>
      <c r="R111" s="38" t="s">
        <v>63</v>
      </c>
      <c r="S111" s="20">
        <v>29.8</v>
      </c>
      <c r="T111" s="20">
        <v>0.3</v>
      </c>
      <c r="U111" s="21">
        <v>2.6158532832789714</v>
      </c>
      <c r="V111" s="19">
        <f t="shared" si="14"/>
        <v>3.6621945965905602E-2</v>
      </c>
      <c r="W111" s="22">
        <v>6.5600338218714777E-2</v>
      </c>
      <c r="X111" s="19">
        <f t="shared" si="14"/>
        <v>9.1840473506200687E-4</v>
      </c>
      <c r="Y111" s="22">
        <v>2.6814536214976861</v>
      </c>
      <c r="Z111" s="53"/>
      <c r="AA111" s="22">
        <v>25.610045735857277</v>
      </c>
      <c r="AB111" s="22">
        <v>9.0052860759493676</v>
      </c>
      <c r="AC111" s="22">
        <v>4.8533414240506323</v>
      </c>
      <c r="AD111" s="19">
        <v>13.858627500000001</v>
      </c>
      <c r="AE111" s="53"/>
      <c r="AF111" s="55">
        <v>0.64979638683191154</v>
      </c>
      <c r="AG111" s="19">
        <v>112.0799719823751</v>
      </c>
      <c r="AH111" s="19">
        <v>17.515327007199335</v>
      </c>
      <c r="AI111" s="19">
        <v>43.125372743056616</v>
      </c>
      <c r="AJ111" s="19">
        <f t="shared" si="6"/>
        <v>0.60375521840279267</v>
      </c>
      <c r="AK111" s="53"/>
      <c r="AL111" s="5">
        <f t="shared" si="13"/>
        <v>0.64129556910376018</v>
      </c>
      <c r="AM111" s="53"/>
      <c r="AN111" s="19">
        <v>6.3989654281822315</v>
      </c>
      <c r="AO111" s="56"/>
      <c r="AP111" s="19">
        <f t="shared" si="9"/>
        <v>45.806826364554304</v>
      </c>
      <c r="AQ111" s="39">
        <f t="shared" si="10"/>
        <v>0.64129556910376029</v>
      </c>
      <c r="AR111" s="56"/>
      <c r="AS111" s="60"/>
      <c r="AT111" s="57"/>
      <c r="AU111" s="52"/>
      <c r="AV111" s="52"/>
      <c r="AW111" s="52"/>
    </row>
    <row r="112" spans="1:49" s="49" customFormat="1">
      <c r="A112" s="38">
        <v>3</v>
      </c>
      <c r="B112" s="38" t="s">
        <v>43</v>
      </c>
      <c r="C112" s="45" t="s">
        <v>0</v>
      </c>
      <c r="D112" s="36">
        <v>40745</v>
      </c>
      <c r="E112" s="46">
        <v>0.36458333333333331</v>
      </c>
      <c r="F112" s="38">
        <v>3</v>
      </c>
      <c r="G112" s="38">
        <v>1.2</v>
      </c>
      <c r="H112" s="19">
        <f t="shared" si="11"/>
        <v>1.8</v>
      </c>
      <c r="I112" s="38"/>
      <c r="J112" s="38"/>
      <c r="K112" s="20">
        <v>25.2</v>
      </c>
      <c r="L112" s="19">
        <v>4.3691549390723106</v>
      </c>
      <c r="M112" s="38"/>
      <c r="N112" s="38"/>
      <c r="O112" s="38">
        <v>4</v>
      </c>
      <c r="P112" s="38">
        <v>0</v>
      </c>
      <c r="Q112" s="38" t="s">
        <v>53</v>
      </c>
      <c r="R112" s="38" t="s">
        <v>67</v>
      </c>
      <c r="S112" s="20">
        <v>29.3</v>
      </c>
      <c r="T112" s="20">
        <v>7.4999999999999928E-2</v>
      </c>
      <c r="U112" s="21">
        <v>0.73591240121894663</v>
      </c>
      <c r="V112" s="19">
        <f t="shared" si="14"/>
        <v>1.0302773617065253E-2</v>
      </c>
      <c r="W112" s="22">
        <v>0.66981397970687717</v>
      </c>
      <c r="X112" s="19">
        <f t="shared" si="14"/>
        <v>9.3773957158962799E-3</v>
      </c>
      <c r="Y112" s="22">
        <v>1.4057263809258238</v>
      </c>
      <c r="Z112" s="19"/>
      <c r="AA112" s="22">
        <v>57.998656901439105</v>
      </c>
      <c r="AB112" s="22">
        <v>5.4762748354430375</v>
      </c>
      <c r="AC112" s="22">
        <v>2.2093280533455708</v>
      </c>
      <c r="AD112" s="19">
        <v>7.6856028887886083</v>
      </c>
      <c r="AE112" s="19"/>
      <c r="AF112" s="55">
        <v>0.71253679310331874</v>
      </c>
      <c r="AG112" s="19">
        <v>121.87176792455249</v>
      </c>
      <c r="AH112" s="19">
        <v>17.763002289107948</v>
      </c>
      <c r="AI112" s="19">
        <v>75.76165919054705</v>
      </c>
      <c r="AJ112" s="19">
        <f t="shared" si="6"/>
        <v>1.0606632286676587</v>
      </c>
      <c r="AK112" s="19"/>
      <c r="AL112" s="5">
        <f t="shared" si="13"/>
        <v>1.0803433980006203</v>
      </c>
      <c r="AM112" s="19"/>
      <c r="AN112" s="19">
        <v>6.8609892596412454</v>
      </c>
      <c r="AO112" s="38"/>
      <c r="AP112" s="19">
        <f t="shared" si="9"/>
        <v>77.167385571472877</v>
      </c>
      <c r="AQ112" s="39">
        <f t="shared" si="10"/>
        <v>1.0803433980006203</v>
      </c>
      <c r="AR112" s="38"/>
      <c r="AS112" s="38"/>
      <c r="AT112" s="52"/>
      <c r="AU112" s="52"/>
      <c r="AV112" s="52"/>
      <c r="AW112" s="52"/>
    </row>
    <row r="113" spans="1:49" s="49" customFormat="1" hidden="1">
      <c r="A113" s="38">
        <v>3</v>
      </c>
      <c r="B113" s="38" t="s">
        <v>44</v>
      </c>
      <c r="C113" s="45" t="s">
        <v>0</v>
      </c>
      <c r="D113" s="36">
        <v>40745</v>
      </c>
      <c r="E113" s="46">
        <v>0.36458333333333331</v>
      </c>
      <c r="F113" s="38">
        <v>3</v>
      </c>
      <c r="G113" s="38">
        <v>1.2</v>
      </c>
      <c r="H113" s="19">
        <f t="shared" si="11"/>
        <v>1.8</v>
      </c>
      <c r="I113" s="38"/>
      <c r="J113" s="38"/>
      <c r="K113" s="20">
        <v>25.3</v>
      </c>
      <c r="L113" s="19">
        <v>3.5337523975241938</v>
      </c>
      <c r="M113" s="38"/>
      <c r="N113" s="38"/>
      <c r="O113" s="38">
        <v>4</v>
      </c>
      <c r="P113" s="38">
        <v>0</v>
      </c>
      <c r="Q113" s="38" t="s">
        <v>53</v>
      </c>
      <c r="R113" s="38" t="s">
        <v>67</v>
      </c>
      <c r="S113" s="20">
        <v>29.6</v>
      </c>
      <c r="T113" s="20">
        <v>0.25</v>
      </c>
      <c r="U113" s="21">
        <v>0.48086359175662552</v>
      </c>
      <c r="V113" s="19">
        <f t="shared" si="14"/>
        <v>6.7320902845927578E-3</v>
      </c>
      <c r="W113" s="22">
        <v>6.0667981961668546E-2</v>
      </c>
      <c r="X113" s="19">
        <f t="shared" si="14"/>
        <v>8.4935174746335969E-4</v>
      </c>
      <c r="Y113" s="22">
        <v>0.54153157371829408</v>
      </c>
      <c r="Z113" s="19"/>
      <c r="AA113" s="22">
        <v>21.228228653201878</v>
      </c>
      <c r="AB113" s="22">
        <v>7.4390537924050637</v>
      </c>
      <c r="AC113" s="22">
        <v>1.827934676575951</v>
      </c>
      <c r="AD113" s="19">
        <v>9.2669884689810154</v>
      </c>
      <c r="AE113" s="19"/>
      <c r="AF113" s="55">
        <v>0.80274771219425622</v>
      </c>
      <c r="AG113" s="19">
        <v>114.6848407746851</v>
      </c>
      <c r="AH113" s="19">
        <v>18.456362951333727</v>
      </c>
      <c r="AI113" s="19">
        <v>39.684591604535605</v>
      </c>
      <c r="AJ113" s="19">
        <f t="shared" si="6"/>
        <v>0.55558428246349845</v>
      </c>
      <c r="AK113" s="19"/>
      <c r="AL113" s="5">
        <f t="shared" si="13"/>
        <v>0.56316572449555458</v>
      </c>
      <c r="AM113" s="19"/>
      <c r="AN113" s="19">
        <v>6.2138375300209159</v>
      </c>
      <c r="AO113" s="38"/>
      <c r="AP113" s="19">
        <f t="shared" si="9"/>
        <v>40.2261231782539</v>
      </c>
      <c r="AQ113" s="39">
        <f t="shared" si="10"/>
        <v>0.56316572449555458</v>
      </c>
      <c r="AR113" s="38"/>
      <c r="AS113" s="38"/>
      <c r="AT113" s="52"/>
      <c r="AU113" s="52"/>
      <c r="AV113" s="52"/>
      <c r="AW113" s="52"/>
    </row>
    <row r="114" spans="1:49" s="49" customFormat="1">
      <c r="A114" s="38">
        <v>3</v>
      </c>
      <c r="B114" s="38" t="s">
        <v>43</v>
      </c>
      <c r="C114" s="45" t="s">
        <v>0</v>
      </c>
      <c r="D114" s="36">
        <v>40759</v>
      </c>
      <c r="E114" s="46">
        <v>0.375</v>
      </c>
      <c r="F114" s="38">
        <v>2.9</v>
      </c>
      <c r="G114" s="38">
        <v>1.85</v>
      </c>
      <c r="H114" s="19">
        <f t="shared" si="11"/>
        <v>1.0499999999999998</v>
      </c>
      <c r="I114" s="38"/>
      <c r="J114" s="61"/>
      <c r="K114" s="20">
        <v>24.8</v>
      </c>
      <c r="L114" s="19">
        <v>4.3392171307396668</v>
      </c>
      <c r="M114" s="38"/>
      <c r="N114" s="38"/>
      <c r="O114" s="38">
        <v>3</v>
      </c>
      <c r="P114" s="38">
        <v>1</v>
      </c>
      <c r="Q114" s="38" t="s">
        <v>50</v>
      </c>
      <c r="R114" s="38" t="s">
        <v>63</v>
      </c>
      <c r="S114" s="20">
        <v>29.4</v>
      </c>
      <c r="T114" s="20">
        <v>0.3</v>
      </c>
      <c r="U114" s="21">
        <v>0.78276315789473516</v>
      </c>
      <c r="V114" s="19">
        <f t="shared" si="14"/>
        <v>1.0958684210526292E-2</v>
      </c>
      <c r="W114" s="22">
        <v>0.05</v>
      </c>
      <c r="X114" s="19">
        <f t="shared" si="14"/>
        <v>7.000000000000001E-4</v>
      </c>
      <c r="Y114" s="22">
        <v>0.80776315789473518</v>
      </c>
      <c r="Z114" s="19"/>
      <c r="AA114" s="22">
        <v>21.261159414458234</v>
      </c>
      <c r="AB114" s="22">
        <v>6.5167841620253171</v>
      </c>
      <c r="AC114" s="22">
        <v>0.3769744672797477</v>
      </c>
      <c r="AD114" s="19">
        <v>6.893758629305065</v>
      </c>
      <c r="AE114" s="19"/>
      <c r="AF114" s="55">
        <v>0.94531655551773364</v>
      </c>
      <c r="AG114" s="19">
        <v>108.47081642676483</v>
      </c>
      <c r="AH114" s="19">
        <v>18.418626087014907</v>
      </c>
      <c r="AI114" s="19">
        <v>39.679785501473141</v>
      </c>
      <c r="AJ114" s="19">
        <f t="shared" si="6"/>
        <v>0.55551699702062396</v>
      </c>
      <c r="AK114" s="19"/>
      <c r="AL114" s="5">
        <f t="shared" si="13"/>
        <v>0.56682568123115029</v>
      </c>
      <c r="AM114" s="19"/>
      <c r="AN114" s="19">
        <v>5.8891915126740386</v>
      </c>
      <c r="AO114" s="38"/>
      <c r="AP114" s="19">
        <f t="shared" si="9"/>
        <v>40.487548659367874</v>
      </c>
      <c r="AQ114" s="39">
        <f t="shared" si="10"/>
        <v>0.56682568123115029</v>
      </c>
      <c r="AR114" s="38"/>
      <c r="AS114" s="38"/>
      <c r="AT114" s="52"/>
      <c r="AU114" s="52"/>
      <c r="AV114" s="52"/>
      <c r="AW114" s="52"/>
    </row>
    <row r="115" spans="1:49" s="49" customFormat="1" hidden="1">
      <c r="A115" s="38">
        <v>3</v>
      </c>
      <c r="B115" s="38" t="s">
        <v>44</v>
      </c>
      <c r="C115" s="45" t="s">
        <v>0</v>
      </c>
      <c r="D115" s="36">
        <v>40759</v>
      </c>
      <c r="E115" s="46">
        <v>0.375</v>
      </c>
      <c r="F115" s="38">
        <v>2.9</v>
      </c>
      <c r="G115" s="38">
        <v>1.85</v>
      </c>
      <c r="H115" s="19">
        <f t="shared" si="11"/>
        <v>1.0499999999999998</v>
      </c>
      <c r="I115" s="38"/>
      <c r="J115" s="61"/>
      <c r="K115" s="20">
        <v>25.1</v>
      </c>
      <c r="L115" s="19">
        <v>3.6723092941077655</v>
      </c>
      <c r="M115" s="38"/>
      <c r="N115" s="38"/>
      <c r="O115" s="38">
        <v>3</v>
      </c>
      <c r="P115" s="38">
        <v>1</v>
      </c>
      <c r="Q115" s="38" t="s">
        <v>50</v>
      </c>
      <c r="R115" s="38" t="s">
        <v>63</v>
      </c>
      <c r="S115" s="20">
        <v>29.4</v>
      </c>
      <c r="T115" s="20">
        <v>0.42499999999999999</v>
      </c>
      <c r="U115" s="21">
        <v>6.7730851965067203</v>
      </c>
      <c r="V115" s="19">
        <f t="shared" si="14"/>
        <v>9.482319275109409E-2</v>
      </c>
      <c r="W115" s="22">
        <v>1.1828000000000001</v>
      </c>
      <c r="X115" s="19">
        <f t="shared" si="14"/>
        <v>1.6559200000000003E-2</v>
      </c>
      <c r="Y115" s="22">
        <v>7.9558851965067205</v>
      </c>
      <c r="Z115" s="19"/>
      <c r="AA115" s="22">
        <v>25.87011480349328</v>
      </c>
      <c r="AB115" s="22">
        <v>7.8883646379746839</v>
      </c>
      <c r="AC115" s="22">
        <v>0.10503584012025313</v>
      </c>
      <c r="AD115" s="19">
        <v>7.9934004780949373</v>
      </c>
      <c r="AE115" s="19"/>
      <c r="AF115" s="55">
        <v>0.98685968000626356</v>
      </c>
      <c r="AG115" s="19">
        <v>117.22694164428884</v>
      </c>
      <c r="AH115" s="19">
        <v>20.932031377767039</v>
      </c>
      <c r="AI115" s="19">
        <v>46.802146181260319</v>
      </c>
      <c r="AJ115" s="19">
        <f t="shared" si="6"/>
        <v>0.65523004653764449</v>
      </c>
      <c r="AK115" s="19"/>
      <c r="AL115" s="5">
        <f t="shared" si="13"/>
        <v>0.76661243928873857</v>
      </c>
      <c r="AM115" s="19"/>
      <c r="AN115" s="19">
        <v>5.6003614522000698</v>
      </c>
      <c r="AO115" s="38"/>
      <c r="AP115" s="19">
        <f t="shared" si="9"/>
        <v>54.75803137776704</v>
      </c>
      <c r="AQ115" s="39">
        <f t="shared" si="10"/>
        <v>0.76661243928873857</v>
      </c>
      <c r="AR115" s="38"/>
      <c r="AS115" s="38"/>
      <c r="AT115" s="52"/>
      <c r="AU115" s="52"/>
      <c r="AV115" s="52"/>
      <c r="AW115" s="52"/>
    </row>
    <row r="116" spans="1:49" s="49" customFormat="1">
      <c r="A116" s="38">
        <v>3</v>
      </c>
      <c r="B116" s="38" t="s">
        <v>43</v>
      </c>
      <c r="C116" s="45" t="s">
        <v>0</v>
      </c>
      <c r="D116" s="36">
        <v>40773</v>
      </c>
      <c r="E116" s="38" t="s">
        <v>47</v>
      </c>
      <c r="F116" s="38">
        <v>3</v>
      </c>
      <c r="G116" s="38">
        <v>1.1000000000000001</v>
      </c>
      <c r="H116" s="19">
        <f t="shared" si="11"/>
        <v>1.9</v>
      </c>
      <c r="I116" s="38"/>
      <c r="J116" s="61"/>
      <c r="K116" s="20">
        <v>23.9</v>
      </c>
      <c r="L116" s="19">
        <v>6.159555630164788</v>
      </c>
      <c r="M116" s="38"/>
      <c r="N116" s="38"/>
      <c r="O116" s="38">
        <v>2</v>
      </c>
      <c r="P116" s="38">
        <v>2</v>
      </c>
      <c r="Q116" s="38" t="s">
        <v>53</v>
      </c>
      <c r="R116" s="38" t="s">
        <v>63</v>
      </c>
      <c r="S116" s="20">
        <v>29.4</v>
      </c>
      <c r="T116" s="20">
        <v>9.9999999999999936E-2</v>
      </c>
      <c r="U116" s="21">
        <v>5.6680072990152546</v>
      </c>
      <c r="V116" s="19">
        <f t="shared" si="14"/>
        <v>7.9352102186213566E-2</v>
      </c>
      <c r="W116" s="22">
        <v>5.9188275084554674E-2</v>
      </c>
      <c r="X116" s="19">
        <f t="shared" si="14"/>
        <v>8.2863585118376549E-4</v>
      </c>
      <c r="Y116" s="22">
        <v>5.7271955740998095</v>
      </c>
      <c r="Z116" s="19"/>
      <c r="AA116" s="22">
        <v>23.162628474120726</v>
      </c>
      <c r="AB116" s="22">
        <v>16.449269198312241</v>
      </c>
      <c r="AC116" s="22">
        <v>1.2995354683544316</v>
      </c>
      <c r="AD116" s="19">
        <v>17.748804666666672</v>
      </c>
      <c r="AE116" s="19"/>
      <c r="AF116" s="55">
        <v>0.92678180346448691</v>
      </c>
      <c r="AG116" s="19">
        <v>165.55824212811316</v>
      </c>
      <c r="AH116" s="19">
        <v>19.396531381345852</v>
      </c>
      <c r="AI116" s="19">
        <v>42.559159855466575</v>
      </c>
      <c r="AJ116" s="19">
        <f t="shared" si="6"/>
        <v>0.59582823797653206</v>
      </c>
      <c r="AK116" s="19"/>
      <c r="AL116" s="5">
        <f t="shared" si="13"/>
        <v>0.6760089760139294</v>
      </c>
      <c r="AM116" s="19"/>
      <c r="AN116" s="19">
        <v>8.5354561015653978</v>
      </c>
      <c r="AO116" s="38"/>
      <c r="AP116" s="19">
        <f t="shared" si="9"/>
        <v>48.286355429566385</v>
      </c>
      <c r="AQ116" s="39">
        <f t="shared" si="10"/>
        <v>0.6760089760139294</v>
      </c>
      <c r="AR116" s="38"/>
      <c r="AS116" s="38"/>
      <c r="AT116" s="52"/>
      <c r="AU116" s="52"/>
      <c r="AV116" s="52"/>
      <c r="AW116" s="52"/>
    </row>
  </sheetData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8"/>
  <sheetViews>
    <sheetView workbookViewId="0">
      <selection activeCell="E7" sqref="E7"/>
    </sheetView>
  </sheetViews>
  <sheetFormatPr defaultRowHeight="12.75"/>
  <cols>
    <col min="3" max="3" width="17" customWidth="1"/>
  </cols>
  <sheetData>
    <row r="1" spans="1:43" s="38" customFormat="1">
      <c r="F1" s="19"/>
      <c r="G1" s="19"/>
      <c r="H1" s="19"/>
      <c r="I1" s="20"/>
      <c r="J1" s="20"/>
      <c r="K1" s="19"/>
      <c r="L1" s="20"/>
      <c r="M1" s="20"/>
      <c r="O1" s="40"/>
      <c r="R1" s="20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39"/>
      <c r="AJ1" s="19"/>
      <c r="AK1" s="5"/>
      <c r="AL1" s="39"/>
      <c r="AM1" s="19"/>
    </row>
    <row r="2" spans="1:43" s="38" customFormat="1">
      <c r="B2" s="7"/>
      <c r="C2" s="7"/>
      <c r="D2" s="8"/>
      <c r="F2" s="9" t="s">
        <v>1</v>
      </c>
      <c r="G2" s="9" t="s">
        <v>2</v>
      </c>
      <c r="H2" s="9"/>
      <c r="I2" s="10" t="s">
        <v>3</v>
      </c>
      <c r="J2" s="10"/>
      <c r="K2" s="9"/>
      <c r="L2" s="10"/>
      <c r="M2" s="10"/>
      <c r="N2" s="7"/>
      <c r="O2" s="41"/>
      <c r="P2" s="7" t="s">
        <v>4</v>
      </c>
      <c r="Q2" s="7" t="s">
        <v>5</v>
      </c>
      <c r="R2" s="35" t="s">
        <v>6</v>
      </c>
      <c r="S2" s="42"/>
      <c r="T2" s="42"/>
      <c r="U2" s="42"/>
      <c r="V2" s="42"/>
      <c r="W2" s="19"/>
      <c r="X2" s="42"/>
      <c r="Y2" s="42"/>
      <c r="Z2" s="42"/>
      <c r="AA2" s="42" t="s">
        <v>7</v>
      </c>
      <c r="AB2" s="42" t="s">
        <v>8</v>
      </c>
      <c r="AC2" s="42"/>
      <c r="AD2" s="42"/>
      <c r="AE2" s="42"/>
      <c r="AF2" s="42"/>
      <c r="AG2" s="42"/>
      <c r="AH2" s="42"/>
      <c r="AI2" s="43"/>
      <c r="AJ2" s="42"/>
      <c r="AK2" s="5"/>
      <c r="AL2" s="39"/>
      <c r="AM2" s="42"/>
      <c r="AO2" s="42" t="s">
        <v>9</v>
      </c>
      <c r="AP2" s="44" t="s">
        <v>9</v>
      </c>
    </row>
    <row r="3" spans="1:43" s="38" customFormat="1" ht="15">
      <c r="A3" s="7" t="s">
        <v>10</v>
      </c>
      <c r="B3" s="7" t="s">
        <v>11</v>
      </c>
      <c r="C3" s="7" t="s">
        <v>12</v>
      </c>
      <c r="D3" s="8" t="s">
        <v>13</v>
      </c>
      <c r="E3" s="7" t="s">
        <v>14</v>
      </c>
      <c r="F3" s="9" t="s">
        <v>15</v>
      </c>
      <c r="G3" s="9" t="s">
        <v>16</v>
      </c>
      <c r="H3" s="9" t="s">
        <v>17</v>
      </c>
      <c r="I3" s="10" t="s">
        <v>15</v>
      </c>
      <c r="J3" s="10" t="s">
        <v>18</v>
      </c>
      <c r="K3" s="9" t="s">
        <v>19</v>
      </c>
      <c r="L3" s="10" t="s">
        <v>20</v>
      </c>
      <c r="M3" s="10" t="s">
        <v>71</v>
      </c>
      <c r="N3" s="7" t="s">
        <v>21</v>
      </c>
      <c r="O3" s="11" t="s">
        <v>22</v>
      </c>
      <c r="P3" s="12" t="s">
        <v>23</v>
      </c>
      <c r="Q3" s="12" t="s">
        <v>24</v>
      </c>
      <c r="R3" s="10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17</v>
      </c>
      <c r="Z3" s="9" t="s">
        <v>32</v>
      </c>
      <c r="AA3" s="9" t="s">
        <v>33</v>
      </c>
      <c r="AB3" s="9" t="s">
        <v>33</v>
      </c>
      <c r="AC3" s="9" t="s">
        <v>34</v>
      </c>
      <c r="AD3" s="9" t="s">
        <v>17</v>
      </c>
      <c r="AE3" s="9" t="s">
        <v>35</v>
      </c>
      <c r="AF3" s="9" t="s">
        <v>36</v>
      </c>
      <c r="AG3" s="9" t="s">
        <v>37</v>
      </c>
      <c r="AH3" s="9" t="s">
        <v>38</v>
      </c>
      <c r="AI3" s="13" t="s">
        <v>39</v>
      </c>
      <c r="AJ3" s="9" t="s">
        <v>17</v>
      </c>
      <c r="AK3" s="13" t="s">
        <v>72</v>
      </c>
      <c r="AL3" s="13" t="s">
        <v>40</v>
      </c>
      <c r="AM3" s="9" t="s">
        <v>41</v>
      </c>
      <c r="AO3" s="42" t="s">
        <v>42</v>
      </c>
      <c r="AP3" s="44" t="s">
        <v>70</v>
      </c>
    </row>
    <row r="4" spans="1:43" s="38" customFormat="1">
      <c r="A4" s="38">
        <v>3</v>
      </c>
      <c r="B4" s="14" t="s">
        <v>44</v>
      </c>
      <c r="C4" s="38" t="s">
        <v>0</v>
      </c>
      <c r="D4" s="15">
        <v>37097</v>
      </c>
      <c r="E4" s="7"/>
      <c r="F4" s="19"/>
      <c r="G4" s="16"/>
      <c r="H4" s="16"/>
      <c r="I4" s="17"/>
      <c r="J4" s="17"/>
      <c r="K4" s="16">
        <v>4.3</v>
      </c>
      <c r="L4" s="17">
        <v>55.2</v>
      </c>
      <c r="M4" s="17"/>
      <c r="N4" s="7"/>
      <c r="O4" s="11"/>
      <c r="P4" s="12"/>
      <c r="Q4" s="12"/>
      <c r="R4" s="10"/>
      <c r="S4" s="9"/>
      <c r="T4" s="9"/>
      <c r="U4" s="16">
        <v>0</v>
      </c>
      <c r="V4" s="9"/>
      <c r="W4" s="16">
        <v>0</v>
      </c>
      <c r="X4" s="16">
        <v>4.0999999999999996</v>
      </c>
      <c r="Y4" s="16"/>
      <c r="Z4" s="16">
        <v>32.5</v>
      </c>
      <c r="AA4" s="16">
        <v>7.81</v>
      </c>
      <c r="AB4" s="16">
        <v>4.96</v>
      </c>
      <c r="AC4" s="16">
        <v>12.77</v>
      </c>
      <c r="AD4" s="16"/>
      <c r="AE4" s="16"/>
      <c r="AF4" s="16"/>
      <c r="AG4" s="16">
        <v>12.74</v>
      </c>
      <c r="AH4" s="16">
        <v>45.24</v>
      </c>
      <c r="AI4" s="39">
        <v>0.63336000000000003</v>
      </c>
      <c r="AJ4" s="16"/>
      <c r="AK4" s="5">
        <v>0.69076000000000004</v>
      </c>
      <c r="AL4" s="5"/>
      <c r="AM4" s="16"/>
      <c r="AO4" s="19">
        <v>49.34</v>
      </c>
      <c r="AP4" s="39">
        <v>0.69076000000000004</v>
      </c>
    </row>
    <row r="5" spans="1:43" s="38" customFormat="1">
      <c r="A5" s="38">
        <v>3</v>
      </c>
      <c r="B5" s="14" t="s">
        <v>44</v>
      </c>
      <c r="C5" s="38" t="s">
        <v>0</v>
      </c>
      <c r="D5" s="15">
        <v>37112</v>
      </c>
      <c r="E5" s="7"/>
      <c r="F5" s="19"/>
      <c r="G5" s="16"/>
      <c r="H5" s="16"/>
      <c r="I5" s="17"/>
      <c r="J5" s="17"/>
      <c r="K5" s="16">
        <v>4.0999999999999996</v>
      </c>
      <c r="L5" s="17">
        <v>58</v>
      </c>
      <c r="M5" s="17"/>
      <c r="N5" s="7"/>
      <c r="O5" s="11"/>
      <c r="P5" s="12"/>
      <c r="Q5" s="12"/>
      <c r="R5" s="10"/>
      <c r="S5" s="9"/>
      <c r="T5" s="9"/>
      <c r="U5" s="16">
        <v>0</v>
      </c>
      <c r="V5" s="9"/>
      <c r="W5" s="16">
        <v>0</v>
      </c>
      <c r="X5" s="16">
        <v>1.8</v>
      </c>
      <c r="Y5" s="16"/>
      <c r="Z5" s="16">
        <v>32.6</v>
      </c>
      <c r="AA5" s="16">
        <v>12.38</v>
      </c>
      <c r="AB5" s="16">
        <v>1.85</v>
      </c>
      <c r="AC5" s="16">
        <v>14.23</v>
      </c>
      <c r="AD5" s="16"/>
      <c r="AE5" s="16"/>
      <c r="AF5" s="16"/>
      <c r="AG5" s="16">
        <v>8.7899999999999991</v>
      </c>
      <c r="AH5" s="16">
        <v>41.39</v>
      </c>
      <c r="AI5" s="39">
        <v>0.57945999999999998</v>
      </c>
      <c r="AJ5" s="16"/>
      <c r="AK5" s="5">
        <v>0.60465999999999998</v>
      </c>
      <c r="AL5" s="5"/>
      <c r="AM5" s="16"/>
      <c r="AN5" s="14"/>
      <c r="AO5" s="19">
        <v>43.19</v>
      </c>
      <c r="AP5" s="39">
        <v>0.60465999999999998</v>
      </c>
      <c r="AQ5" s="14"/>
    </row>
    <row r="6" spans="1:43" s="38" customFormat="1">
      <c r="A6" s="38">
        <v>3</v>
      </c>
      <c r="B6" s="14" t="s">
        <v>44</v>
      </c>
      <c r="C6" s="38" t="s">
        <v>0</v>
      </c>
      <c r="D6" s="15">
        <v>37126</v>
      </c>
      <c r="E6" s="7"/>
      <c r="F6" s="16"/>
      <c r="G6" s="16"/>
      <c r="H6" s="16"/>
      <c r="I6" s="17"/>
      <c r="J6" s="17"/>
      <c r="K6" s="16">
        <v>3.9</v>
      </c>
      <c r="L6" s="17">
        <v>60.2</v>
      </c>
      <c r="M6" s="17"/>
      <c r="N6" s="7"/>
      <c r="O6" s="11"/>
      <c r="P6" s="12"/>
      <c r="Q6" s="12"/>
      <c r="R6" s="10"/>
      <c r="S6" s="9"/>
      <c r="T6" s="9"/>
      <c r="U6" s="16">
        <v>0</v>
      </c>
      <c r="V6" s="9"/>
      <c r="W6" s="16">
        <v>0</v>
      </c>
      <c r="X6" s="16">
        <v>4.9000000000000004</v>
      </c>
      <c r="Y6" s="16"/>
      <c r="Z6" s="16">
        <v>28.9</v>
      </c>
      <c r="AA6" s="16">
        <v>7.92</v>
      </c>
      <c r="AB6" s="16">
        <v>3.2</v>
      </c>
      <c r="AC6" s="16">
        <v>11.12</v>
      </c>
      <c r="AD6" s="16"/>
      <c r="AE6" s="16"/>
      <c r="AF6" s="19"/>
      <c r="AG6" s="16">
        <v>16.87</v>
      </c>
      <c r="AH6" s="16">
        <v>45.77</v>
      </c>
      <c r="AI6" s="39">
        <v>0.64078000000000002</v>
      </c>
      <c r="AJ6" s="16"/>
      <c r="AK6" s="5">
        <v>0.70938000000000001</v>
      </c>
      <c r="AL6" s="5"/>
      <c r="AM6" s="16"/>
      <c r="AO6" s="19">
        <v>50.67</v>
      </c>
      <c r="AP6" s="39">
        <v>0.70938000000000001</v>
      </c>
    </row>
    <row r="7" spans="1:43" s="38" customFormat="1">
      <c r="A7" s="38">
        <v>3</v>
      </c>
      <c r="B7" s="14" t="s">
        <v>44</v>
      </c>
      <c r="C7" s="38" t="s">
        <v>0</v>
      </c>
      <c r="D7" s="15">
        <v>37140</v>
      </c>
      <c r="E7" s="7"/>
      <c r="F7" s="16"/>
      <c r="G7" s="16"/>
      <c r="H7" s="16"/>
      <c r="I7" s="17"/>
      <c r="J7" s="17"/>
      <c r="K7" s="16">
        <v>6.5</v>
      </c>
      <c r="L7" s="17">
        <v>86.8</v>
      </c>
      <c r="M7" s="17"/>
      <c r="N7" s="7"/>
      <c r="O7" s="11"/>
      <c r="P7" s="12"/>
      <c r="Q7" s="12"/>
      <c r="R7" s="10"/>
      <c r="S7" s="9"/>
      <c r="T7" s="9"/>
      <c r="U7" s="16">
        <v>0</v>
      </c>
      <c r="V7" s="9"/>
      <c r="W7" s="16">
        <v>0</v>
      </c>
      <c r="X7" s="16">
        <v>4.9000000000000004</v>
      </c>
      <c r="Y7" s="16"/>
      <c r="Z7" s="16">
        <v>28.4</v>
      </c>
      <c r="AA7" s="16">
        <v>7.92</v>
      </c>
      <c r="AB7" s="16">
        <v>3.2</v>
      </c>
      <c r="AC7" s="16">
        <v>11.12</v>
      </c>
      <c r="AD7" s="16"/>
      <c r="AE7" s="16"/>
      <c r="AF7" s="16"/>
      <c r="AG7" s="16">
        <v>12.84</v>
      </c>
      <c r="AH7" s="16">
        <v>41.24</v>
      </c>
      <c r="AI7" s="39">
        <v>0.5773600000000001</v>
      </c>
      <c r="AJ7" s="16"/>
      <c r="AK7" s="5">
        <v>0.64595999999999998</v>
      </c>
      <c r="AL7" s="5"/>
      <c r="AM7" s="9"/>
      <c r="AO7" s="19">
        <v>46.14</v>
      </c>
      <c r="AP7" s="39">
        <v>0.64595999999999998</v>
      </c>
    </row>
    <row r="8" spans="1:43" s="38" customFormat="1">
      <c r="A8" s="38">
        <v>3</v>
      </c>
      <c r="B8" s="38" t="s">
        <v>44</v>
      </c>
      <c r="C8" s="38" t="s">
        <v>0</v>
      </c>
      <c r="D8" s="36">
        <v>37419</v>
      </c>
      <c r="E8" s="46">
        <v>0.3263888888888889</v>
      </c>
      <c r="F8" s="19">
        <v>2.41</v>
      </c>
      <c r="G8" s="19"/>
      <c r="H8" s="19"/>
      <c r="I8" s="20">
        <v>3.9</v>
      </c>
      <c r="J8" s="20">
        <v>18.5</v>
      </c>
      <c r="K8" s="19">
        <v>4.5599999999999996</v>
      </c>
      <c r="L8" s="20">
        <v>58.4</v>
      </c>
      <c r="M8" s="20"/>
      <c r="O8" s="40"/>
      <c r="R8" s="20">
        <v>30.3</v>
      </c>
      <c r="S8" s="19">
        <v>0.64127200000000006</v>
      </c>
      <c r="T8" s="19">
        <v>13.711694499999998</v>
      </c>
      <c r="U8" s="16">
        <v>0.19196372299999998</v>
      </c>
      <c r="V8" s="19">
        <v>0.43345056740566834</v>
      </c>
      <c r="W8" s="16">
        <v>6.0683079436793571E-3</v>
      </c>
      <c r="X8" s="19">
        <v>14.145145067405666</v>
      </c>
      <c r="Y8" s="19"/>
      <c r="Z8" s="19">
        <v>17.058006038700562</v>
      </c>
      <c r="AA8" s="19">
        <v>7.7316000000000003</v>
      </c>
      <c r="AB8" s="19">
        <v>2.4449400000000008</v>
      </c>
      <c r="AC8" s="16">
        <v>10.176540000000001</v>
      </c>
      <c r="AD8" s="19"/>
      <c r="AE8" s="19">
        <v>0.7597474190638468</v>
      </c>
      <c r="AF8" s="19">
        <v>106.31338476637279</v>
      </c>
      <c r="AG8" s="19">
        <v>15.901727597201226</v>
      </c>
      <c r="AH8" s="19">
        <v>32.959733635901785</v>
      </c>
      <c r="AI8" s="39">
        <v>0.46143627090262501</v>
      </c>
      <c r="AJ8" s="19"/>
      <c r="AK8" s="5">
        <v>0.65946830184630434</v>
      </c>
      <c r="AL8" s="39"/>
      <c r="AM8" s="19">
        <v>6.6827237093703706</v>
      </c>
      <c r="AO8" s="19">
        <v>47.104878703307449</v>
      </c>
      <c r="AP8" s="39">
        <v>0.65946830184630434</v>
      </c>
    </row>
    <row r="9" spans="1:43" s="38" customFormat="1">
      <c r="A9" s="38">
        <v>3</v>
      </c>
      <c r="B9" s="38" t="s">
        <v>44</v>
      </c>
      <c r="C9" s="38" t="s">
        <v>0</v>
      </c>
      <c r="D9" s="36">
        <v>37448</v>
      </c>
      <c r="E9" s="46">
        <v>0.33958333333333335</v>
      </c>
      <c r="F9" s="19"/>
      <c r="G9" s="19"/>
      <c r="H9" s="19"/>
      <c r="I9" s="20">
        <v>2.1</v>
      </c>
      <c r="J9" s="20">
        <v>23.3</v>
      </c>
      <c r="K9" s="19">
        <v>4.62</v>
      </c>
      <c r="L9" s="20">
        <v>65.2</v>
      </c>
      <c r="M9" s="20"/>
      <c r="O9" s="40"/>
      <c r="R9" s="20">
        <v>31.2</v>
      </c>
      <c r="S9" s="19">
        <v>0.56101599999999996</v>
      </c>
      <c r="T9" s="19">
        <v>1.4551310000000004</v>
      </c>
      <c r="U9" s="16">
        <v>2.0371834000000005E-2</v>
      </c>
      <c r="V9" s="19">
        <v>0.11955448794475404</v>
      </c>
      <c r="W9" s="16">
        <v>1.6737628312265566E-3</v>
      </c>
      <c r="X9" s="19">
        <v>1.5746854879447545</v>
      </c>
      <c r="Y9" s="19"/>
      <c r="Z9" s="19">
        <v>24.722006772536972</v>
      </c>
      <c r="AA9" s="19">
        <v>8.9388428571428555</v>
      </c>
      <c r="AB9" s="19">
        <v>1.5335821428571439</v>
      </c>
      <c r="AC9" s="16">
        <v>10.472424999999999</v>
      </c>
      <c r="AD9" s="19"/>
      <c r="AE9" s="19">
        <v>0.85355997843315723</v>
      </c>
      <c r="AF9" s="19">
        <v>210.17965980764782</v>
      </c>
      <c r="AG9" s="19">
        <v>30.500173138424682</v>
      </c>
      <c r="AH9" s="19">
        <v>55.222179910961657</v>
      </c>
      <c r="AI9" s="39">
        <v>0.77311051875346326</v>
      </c>
      <c r="AJ9" s="19"/>
      <c r="AK9" s="5">
        <v>0.79515611558468968</v>
      </c>
      <c r="AL9" s="39"/>
      <c r="AM9" s="19">
        <v>6.8880810765972642</v>
      </c>
      <c r="AO9" s="19">
        <v>56.796865398906412</v>
      </c>
      <c r="AP9" s="39">
        <v>0.79515611558468979</v>
      </c>
    </row>
    <row r="10" spans="1:43" s="38" customFormat="1">
      <c r="A10" s="38">
        <v>3</v>
      </c>
      <c r="B10" s="38" t="s">
        <v>44</v>
      </c>
      <c r="C10" s="38" t="s">
        <v>0</v>
      </c>
      <c r="D10" s="36">
        <v>37462</v>
      </c>
      <c r="E10" s="46">
        <v>0.32361111111111113</v>
      </c>
      <c r="F10" s="19"/>
      <c r="G10" s="19"/>
      <c r="H10" s="19"/>
      <c r="I10" s="20">
        <v>1.5</v>
      </c>
      <c r="J10" s="20">
        <v>22.8</v>
      </c>
      <c r="K10" s="19">
        <v>5.42</v>
      </c>
      <c r="L10" s="20">
        <v>76</v>
      </c>
      <c r="M10" s="20"/>
      <c r="O10" s="40"/>
      <c r="R10" s="21">
        <v>30.8</v>
      </c>
      <c r="S10" s="19">
        <v>0.64121399999999995</v>
      </c>
      <c r="T10" s="19">
        <v>1.5455310000000002</v>
      </c>
      <c r="U10" s="16">
        <v>2.1637434000000004E-2</v>
      </c>
      <c r="V10" s="22">
        <v>0.14548942584102501</v>
      </c>
      <c r="W10" s="16">
        <v>2.0368519617743499E-3</v>
      </c>
      <c r="X10" s="19">
        <v>1.6910204258410253</v>
      </c>
      <c r="Y10" s="19"/>
      <c r="Z10" s="19">
        <v>39.996146698158974</v>
      </c>
      <c r="AA10" s="19">
        <v>10.69725</v>
      </c>
      <c r="AB10" s="19">
        <v>1.3243000000000009</v>
      </c>
      <c r="AC10" s="16">
        <v>12.021550000000001</v>
      </c>
      <c r="AD10" s="19"/>
      <c r="AE10" s="19">
        <v>0.88983949657074168</v>
      </c>
      <c r="AF10" s="19">
        <v>108.49046648574915</v>
      </c>
      <c r="AG10" s="19">
        <v>16.600303152568149</v>
      </c>
      <c r="AH10" s="19">
        <v>56.596449850727126</v>
      </c>
      <c r="AI10" s="39">
        <v>0.79235029791017975</v>
      </c>
      <c r="AJ10" s="19"/>
      <c r="AK10" s="5">
        <v>0.81602458387195398</v>
      </c>
      <c r="AL10" s="39"/>
      <c r="AM10" s="19">
        <v>6.5325903907193972</v>
      </c>
      <c r="AO10" s="19">
        <v>58.28747027656815</v>
      </c>
      <c r="AP10" s="39">
        <v>0.81602458387195409</v>
      </c>
    </row>
    <row r="11" spans="1:43" s="38" customFormat="1">
      <c r="A11" s="38">
        <v>3</v>
      </c>
      <c r="B11" s="38" t="s">
        <v>44</v>
      </c>
      <c r="C11" s="38" t="s">
        <v>0</v>
      </c>
      <c r="D11" s="36">
        <v>37481</v>
      </c>
      <c r="E11" s="46">
        <v>0.3263888888888889</v>
      </c>
      <c r="F11" s="19"/>
      <c r="G11" s="19"/>
      <c r="H11" s="19"/>
      <c r="I11" s="20">
        <v>2.5</v>
      </c>
      <c r="J11" s="20">
        <v>24.6</v>
      </c>
      <c r="K11" s="19">
        <v>3.8</v>
      </c>
      <c r="L11" s="20">
        <v>57.4</v>
      </c>
      <c r="M11" s="20"/>
      <c r="O11" s="40"/>
      <c r="R11" s="20">
        <v>31.4</v>
      </c>
      <c r="S11" s="19">
        <v>0.52371800000000002</v>
      </c>
      <c r="T11" s="19">
        <v>5.5938870000000005</v>
      </c>
      <c r="U11" s="16">
        <v>7.8314418000000011E-2</v>
      </c>
      <c r="V11" s="19">
        <v>0.1003957871700787</v>
      </c>
      <c r="W11" s="16">
        <v>1.4055410203811019E-3</v>
      </c>
      <c r="X11" s="19">
        <v>5.6942827871700796</v>
      </c>
      <c r="Y11" s="19"/>
      <c r="Z11" s="19">
        <v>27.856152246366449</v>
      </c>
      <c r="AA11" s="19">
        <v>4.170585714285715</v>
      </c>
      <c r="AB11" s="19">
        <v>4.7260242857142858</v>
      </c>
      <c r="AC11" s="16">
        <v>8.8966100000000008</v>
      </c>
      <c r="AD11" s="19"/>
      <c r="AE11" s="19">
        <v>0.46878369561953537</v>
      </c>
      <c r="AF11" s="19">
        <v>105.91694509963877</v>
      </c>
      <c r="AG11" s="19">
        <v>16.1471181723938</v>
      </c>
      <c r="AH11" s="19">
        <v>44.003270418760252</v>
      </c>
      <c r="AI11" s="39">
        <v>0.61604578586264358</v>
      </c>
      <c r="AJ11" s="19"/>
      <c r="AK11" s="5">
        <v>0.69576574488302467</v>
      </c>
      <c r="AL11" s="39"/>
      <c r="AM11" s="19">
        <v>6.5566242072412679</v>
      </c>
      <c r="AO11" s="19">
        <v>49.697553205930333</v>
      </c>
      <c r="AP11" s="39">
        <v>0.69576574488302467</v>
      </c>
    </row>
    <row r="12" spans="1:43" s="38" customFormat="1">
      <c r="A12" s="38">
        <v>3</v>
      </c>
      <c r="B12" s="38" t="s">
        <v>44</v>
      </c>
      <c r="C12" s="38" t="s">
        <v>0</v>
      </c>
      <c r="D12" s="36">
        <v>37525</v>
      </c>
      <c r="E12" s="46">
        <v>0.32708333333333334</v>
      </c>
      <c r="F12" s="19"/>
      <c r="G12" s="19"/>
      <c r="H12" s="16">
        <v>1.472</v>
      </c>
      <c r="I12" s="20">
        <v>2.1</v>
      </c>
      <c r="J12" s="20">
        <v>20.5</v>
      </c>
      <c r="K12" s="19">
        <v>5.12</v>
      </c>
      <c r="L12" s="20">
        <v>68.900000000000006</v>
      </c>
      <c r="M12" s="17">
        <v>5.1939999999999991</v>
      </c>
      <c r="O12" s="40"/>
      <c r="R12" s="20">
        <v>30.1</v>
      </c>
      <c r="S12" s="19">
        <v>1.1267849999999999</v>
      </c>
      <c r="T12" s="19">
        <v>8.2302509999999991</v>
      </c>
      <c r="U12" s="16">
        <v>0.11522351399999999</v>
      </c>
      <c r="V12" s="19">
        <v>1.5663690234761936</v>
      </c>
      <c r="W12" s="16">
        <v>2.1929166328666712E-2</v>
      </c>
      <c r="X12" s="19">
        <v>9.7966200234761924</v>
      </c>
      <c r="Y12" s="16">
        <v>6.1518679186504626</v>
      </c>
      <c r="Z12" s="19">
        <v>31.111171416093519</v>
      </c>
      <c r="AA12" s="19">
        <v>4.6767000000000003</v>
      </c>
      <c r="AB12" s="19">
        <v>0.80452500000000016</v>
      </c>
      <c r="AC12" s="16">
        <v>5.4812250000000002</v>
      </c>
      <c r="AD12" s="16">
        <v>10.009571666666666</v>
      </c>
      <c r="AE12" s="19">
        <v>0.85322167946033967</v>
      </c>
      <c r="AF12" s="19">
        <v>39.635593426343313</v>
      </c>
      <c r="AG12" s="19">
        <v>5.1251101394262344</v>
      </c>
      <c r="AH12" s="19">
        <v>36.236281555519753</v>
      </c>
      <c r="AI12" s="39">
        <v>0.50730794177727656</v>
      </c>
      <c r="AJ12" s="16">
        <v>0.62562309045235198</v>
      </c>
      <c r="AK12" s="5">
        <v>0.64446062210594324</v>
      </c>
      <c r="AL12" s="5">
        <v>0.71174924131345851</v>
      </c>
      <c r="AM12" s="19">
        <v>7.7302231730405602</v>
      </c>
      <c r="AO12" s="19">
        <v>46.032901578995947</v>
      </c>
      <c r="AP12" s="39">
        <v>0.64446062210594324</v>
      </c>
    </row>
    <row r="13" spans="1:43" s="38" customFormat="1">
      <c r="A13" s="38">
        <v>3</v>
      </c>
      <c r="B13" s="38" t="s">
        <v>44</v>
      </c>
      <c r="C13" s="38" t="s">
        <v>0</v>
      </c>
      <c r="D13" s="36">
        <v>37789</v>
      </c>
      <c r="E13" s="46">
        <v>0.31597222222222221</v>
      </c>
      <c r="F13" s="19"/>
      <c r="G13" s="19"/>
      <c r="H13" s="19"/>
      <c r="I13" s="20">
        <v>1.5</v>
      </c>
      <c r="J13" s="20">
        <v>18.600000000000001</v>
      </c>
      <c r="K13" s="19">
        <v>7</v>
      </c>
      <c r="L13" s="20">
        <v>91</v>
      </c>
      <c r="M13" s="20"/>
      <c r="O13" s="40"/>
      <c r="R13" s="20"/>
      <c r="S13" s="19">
        <v>0.45615384615384619</v>
      </c>
      <c r="T13" s="19">
        <v>4.1784010409136938</v>
      </c>
      <c r="U13" s="16">
        <v>5.8497614572791713E-2</v>
      </c>
      <c r="V13" s="19">
        <v>0.05</v>
      </c>
      <c r="W13" s="16">
        <v>7.000000000000001E-4</v>
      </c>
      <c r="X13" s="19">
        <v>4.2034010409136942</v>
      </c>
      <c r="Y13" s="19"/>
      <c r="Z13" s="19">
        <v>19.178719676867711</v>
      </c>
      <c r="AA13" s="19">
        <v>10.021257142857142</v>
      </c>
      <c r="AB13" s="19">
        <v>1.1666128571428587</v>
      </c>
      <c r="AC13" s="19">
        <v>11.18787</v>
      </c>
      <c r="AD13" s="19"/>
      <c r="AE13" s="19">
        <v>0.89572520442739689</v>
      </c>
      <c r="AF13" s="19">
        <v>104.07515656569032</v>
      </c>
      <c r="AG13" s="19">
        <v>17.193387524464171</v>
      </c>
      <c r="AH13" s="22">
        <v>23.382120717781405</v>
      </c>
      <c r="AI13" s="39">
        <v>0.32734969004893966</v>
      </c>
      <c r="AJ13" s="19"/>
      <c r="AK13" s="5">
        <v>0.56805711539143811</v>
      </c>
      <c r="AL13" s="39"/>
      <c r="AM13" s="19">
        <v>6.0532083289348071</v>
      </c>
      <c r="AO13" s="19">
        <v>27.585521758695098</v>
      </c>
      <c r="AP13" s="39">
        <v>0.38619730462173135</v>
      </c>
    </row>
    <row r="14" spans="1:43" s="38" customFormat="1">
      <c r="A14" s="38">
        <v>3</v>
      </c>
      <c r="B14" s="38" t="s">
        <v>44</v>
      </c>
      <c r="C14" s="38" t="s">
        <v>0</v>
      </c>
      <c r="D14" s="36">
        <v>37805</v>
      </c>
      <c r="E14" s="46">
        <v>0.33194444444444443</v>
      </c>
      <c r="F14" s="19"/>
      <c r="G14" s="19"/>
      <c r="H14" s="19"/>
      <c r="I14" s="20">
        <v>1.9</v>
      </c>
      <c r="J14" s="20">
        <v>23</v>
      </c>
      <c r="K14" s="19">
        <v>5.6</v>
      </c>
      <c r="L14" s="20">
        <v>77.7</v>
      </c>
      <c r="M14" s="20"/>
      <c r="O14" s="40"/>
      <c r="R14" s="20"/>
      <c r="S14" s="19">
        <v>0.79059645233427378</v>
      </c>
      <c r="T14" s="19">
        <v>5.5534874290348739</v>
      </c>
      <c r="U14" s="16">
        <v>7.7748824006488235E-2</v>
      </c>
      <c r="V14" s="19">
        <v>0.39134808853118719</v>
      </c>
      <c r="W14" s="16">
        <v>5.4788732394366211E-3</v>
      </c>
      <c r="X14" s="19">
        <v>5.9448355175660614</v>
      </c>
      <c r="Y14" s="19"/>
      <c r="Z14" s="19">
        <v>20.710123699399674</v>
      </c>
      <c r="AA14" s="19">
        <v>6.5578714285714268</v>
      </c>
      <c r="AB14" s="19">
        <v>1.8862835714285744</v>
      </c>
      <c r="AC14" s="19">
        <v>8.4441550000000021</v>
      </c>
      <c r="AD14" s="19"/>
      <c r="AE14" s="19">
        <v>0.77661665715177242</v>
      </c>
      <c r="AF14" s="19">
        <v>86.933369833087454</v>
      </c>
      <c r="AG14" s="19">
        <v>19.340552762866977</v>
      </c>
      <c r="AH14" s="22">
        <v>26.654959216965736</v>
      </c>
      <c r="AI14" s="39">
        <v>0.37316942903752032</v>
      </c>
      <c r="AJ14" s="19"/>
      <c r="AK14" s="5">
        <v>0.64393716771765797</v>
      </c>
      <c r="AL14" s="39"/>
      <c r="AM14" s="19">
        <v>4.4948751413142523</v>
      </c>
      <c r="AO14" s="19">
        <v>32.599794734531798</v>
      </c>
      <c r="AP14" s="39">
        <v>0.4563971262834452</v>
      </c>
    </row>
    <row r="15" spans="1:43" s="38" customFormat="1">
      <c r="A15" s="38">
        <v>3</v>
      </c>
      <c r="B15" s="38" t="s">
        <v>44</v>
      </c>
      <c r="C15" s="38" t="s">
        <v>0</v>
      </c>
      <c r="D15" s="36">
        <v>37819</v>
      </c>
      <c r="E15" s="46">
        <v>0.3298611111111111</v>
      </c>
      <c r="F15" s="19"/>
      <c r="G15" s="19"/>
      <c r="H15" s="19"/>
      <c r="I15" s="20">
        <v>2.4</v>
      </c>
      <c r="J15" s="20">
        <v>23.2</v>
      </c>
      <c r="K15" s="19">
        <v>4.97</v>
      </c>
      <c r="L15" s="20">
        <v>70</v>
      </c>
      <c r="M15" s="20"/>
      <c r="N15" s="38" t="s">
        <v>49</v>
      </c>
      <c r="O15" s="40">
        <v>1</v>
      </c>
      <c r="P15" s="38" t="s">
        <v>54</v>
      </c>
      <c r="Q15" s="38" t="s">
        <v>49</v>
      </c>
      <c r="R15" s="20"/>
      <c r="S15" s="22">
        <v>0.51468141431005521</v>
      </c>
      <c r="T15" s="19">
        <v>3.6266672746756652</v>
      </c>
      <c r="U15" s="16">
        <v>5.0773341845459313E-2</v>
      </c>
      <c r="V15" s="19">
        <v>9.8490945674044275E-2</v>
      </c>
      <c r="W15" s="16">
        <v>1.3788732394366199E-3</v>
      </c>
      <c r="X15" s="19">
        <v>3.7251582203497096</v>
      </c>
      <c r="Y15" s="19"/>
      <c r="Z15" s="19">
        <v>34.185918451754695</v>
      </c>
      <c r="AA15" s="19">
        <v>10.858628571428573</v>
      </c>
      <c r="AB15" s="19">
        <v>1.6943414285714271</v>
      </c>
      <c r="AC15" s="19">
        <v>12.55297</v>
      </c>
      <c r="AD15" s="19"/>
      <c r="AE15" s="19">
        <v>0.86502465722682143</v>
      </c>
      <c r="AF15" s="19">
        <v>127.79578471668665</v>
      </c>
      <c r="AG15" s="19">
        <v>21.43583368113535</v>
      </c>
      <c r="AH15" s="22">
        <v>37.911076672104407</v>
      </c>
      <c r="AI15" s="39">
        <v>0.53075507340946171</v>
      </c>
      <c r="AJ15" s="19"/>
      <c r="AK15" s="5">
        <v>0.83085674494535666</v>
      </c>
      <c r="AL15" s="39"/>
      <c r="AM15" s="19">
        <v>5.9617828080628188</v>
      </c>
      <c r="AO15" s="19">
        <v>41.636234892454119</v>
      </c>
      <c r="AP15" s="39">
        <v>0.58290728849435769</v>
      </c>
    </row>
    <row r="16" spans="1:43" s="38" customFormat="1">
      <c r="A16" s="38">
        <v>3</v>
      </c>
      <c r="B16" s="38" t="s">
        <v>44</v>
      </c>
      <c r="C16" s="38" t="s">
        <v>0</v>
      </c>
      <c r="D16" s="36">
        <v>37838</v>
      </c>
      <c r="E16" s="46">
        <v>0.40972222222222227</v>
      </c>
      <c r="F16" s="19"/>
      <c r="G16" s="19"/>
      <c r="H16" s="19"/>
      <c r="I16" s="20">
        <v>2.2000000000000002</v>
      </c>
      <c r="J16" s="20">
        <v>25.2</v>
      </c>
      <c r="K16" s="19">
        <v>3</v>
      </c>
      <c r="L16" s="20">
        <v>44.7</v>
      </c>
      <c r="M16" s="20"/>
      <c r="O16" s="40"/>
      <c r="R16" s="20"/>
      <c r="S16" s="19">
        <v>0.77995629700485303</v>
      </c>
      <c r="T16" s="22">
        <v>4.996930541304045</v>
      </c>
      <c r="U16" s="16">
        <v>6.9957027578256628E-2</v>
      </c>
      <c r="V16" s="19">
        <v>0.24346076458752519</v>
      </c>
      <c r="W16" s="16">
        <v>3.4084507042253529E-3</v>
      </c>
      <c r="X16" s="19">
        <v>5.2403913058915705</v>
      </c>
      <c r="Y16" s="19"/>
      <c r="Z16" s="19">
        <v>57.140505920862104</v>
      </c>
      <c r="AA16" s="19">
        <v>7.0474714285714288</v>
      </c>
      <c r="AB16" s="19">
        <v>2.3477485714285704</v>
      </c>
      <c r="AC16" s="19">
        <v>9.3952199999999984</v>
      </c>
      <c r="AD16" s="19"/>
      <c r="AE16" s="19">
        <v>0.75011244319679904</v>
      </c>
      <c r="AF16" s="19">
        <v>67.652362769534108</v>
      </c>
      <c r="AG16" s="19">
        <v>11.371042160807647</v>
      </c>
      <c r="AH16" s="22">
        <v>62.380897226753675</v>
      </c>
      <c r="AI16" s="39">
        <v>0.87333256117455149</v>
      </c>
      <c r="AJ16" s="19"/>
      <c r="AK16" s="5">
        <v>1.0325271514258585</v>
      </c>
      <c r="AL16" s="39"/>
      <c r="AM16" s="19">
        <v>5.9495305542626697</v>
      </c>
      <c r="AO16" s="19">
        <v>67.621288532645252</v>
      </c>
      <c r="AP16" s="39">
        <v>0.94669803945703357</v>
      </c>
    </row>
    <row r="17" spans="1:42" s="38" customFormat="1">
      <c r="A17" s="38">
        <v>3</v>
      </c>
      <c r="B17" s="38" t="s">
        <v>44</v>
      </c>
      <c r="C17" s="38" t="s">
        <v>0</v>
      </c>
      <c r="D17" s="36">
        <v>37852</v>
      </c>
      <c r="E17" s="46">
        <v>0.3298611111111111</v>
      </c>
      <c r="F17" s="19"/>
      <c r="G17" s="19"/>
      <c r="H17" s="19"/>
      <c r="I17" s="20">
        <v>2.4</v>
      </c>
      <c r="J17" s="20">
        <v>24.1</v>
      </c>
      <c r="K17" s="19">
        <v>4.6100000000000003</v>
      </c>
      <c r="L17" s="20">
        <v>64.8</v>
      </c>
      <c r="M17" s="20"/>
      <c r="O17" s="40"/>
      <c r="R17" s="20"/>
      <c r="S17" s="19">
        <v>1.3191876576911938</v>
      </c>
      <c r="T17" s="19">
        <v>3.2707116313501872</v>
      </c>
      <c r="U17" s="16">
        <v>4.5789962838902624E-2</v>
      </c>
      <c r="V17" s="19">
        <v>0.17806841046277669</v>
      </c>
      <c r="W17" s="16">
        <v>2.4929577464788736E-3</v>
      </c>
      <c r="X17" s="19">
        <v>3.4487800418129639</v>
      </c>
      <c r="Y17" s="19"/>
      <c r="Z17" s="19">
        <v>58.626244428007595</v>
      </c>
      <c r="AA17" s="19">
        <v>9.9967285714285712</v>
      </c>
      <c r="AB17" s="19">
        <v>1.6744514285714296</v>
      </c>
      <c r="AC17" s="19">
        <v>11.671180000000001</v>
      </c>
      <c r="AD17" s="19"/>
      <c r="AE17" s="19">
        <v>0.85653109380787285</v>
      </c>
      <c r="AF17" s="19">
        <v>100.36593386763845</v>
      </c>
      <c r="AG17" s="19">
        <v>18.357021195924318</v>
      </c>
      <c r="AH17" s="22">
        <v>62.075024469820562</v>
      </c>
      <c r="AI17" s="39">
        <v>0.86905034257748792</v>
      </c>
      <c r="AJ17" s="19"/>
      <c r="AK17" s="5">
        <v>1.1260486393204283</v>
      </c>
      <c r="AL17" s="39"/>
      <c r="AM17" s="19">
        <v>5.467441193014583</v>
      </c>
      <c r="AO17" s="19">
        <v>65.523804511633529</v>
      </c>
      <c r="AP17" s="39">
        <v>0.91733326316286945</v>
      </c>
    </row>
    <row r="18" spans="1:42" s="38" customFormat="1">
      <c r="A18" s="38">
        <v>3</v>
      </c>
      <c r="B18" s="38" t="s">
        <v>44</v>
      </c>
      <c r="C18" s="38" t="s">
        <v>0</v>
      </c>
      <c r="D18" s="36">
        <v>37867</v>
      </c>
      <c r="E18" s="46">
        <v>0.32500000000000001</v>
      </c>
      <c r="F18" s="19"/>
      <c r="G18" s="19"/>
      <c r="H18" s="16">
        <v>1.5716666666666665</v>
      </c>
      <c r="I18" s="20">
        <v>2.5</v>
      </c>
      <c r="J18" s="20">
        <v>20.399999999999999</v>
      </c>
      <c r="K18" s="19">
        <v>4.49</v>
      </c>
      <c r="L18" s="20">
        <v>59.4</v>
      </c>
      <c r="M18" s="17">
        <v>5.5650000000000004</v>
      </c>
      <c r="O18" s="40"/>
      <c r="R18" s="20"/>
      <c r="S18" s="19">
        <v>1.0064660492576778</v>
      </c>
      <c r="T18" s="19">
        <v>9.9733615655203032</v>
      </c>
      <c r="U18" s="16">
        <v>0.13962706191728425</v>
      </c>
      <c r="V18" s="19">
        <v>0.7193158953722335</v>
      </c>
      <c r="W18" s="16">
        <v>1.0070422535211268E-2</v>
      </c>
      <c r="X18" s="19">
        <v>10.692677460892536</v>
      </c>
      <c r="Y18" s="16">
        <v>5.6273393857396785</v>
      </c>
      <c r="Z18" s="19">
        <v>18.65396201708462</v>
      </c>
      <c r="AA18" s="19">
        <v>6.0000285714285706</v>
      </c>
      <c r="AB18" s="19">
        <v>1.6336514285714314</v>
      </c>
      <c r="AC18" s="19">
        <v>7.6336800000000018</v>
      </c>
      <c r="AD18" s="16">
        <v>10.609284404761905</v>
      </c>
      <c r="AE18" s="19">
        <v>0.78599424804662621</v>
      </c>
      <c r="AF18" s="19">
        <v>64.946268258752738</v>
      </c>
      <c r="AG18" s="19">
        <v>8.8454311663541905</v>
      </c>
      <c r="AH18" s="22">
        <v>29.346639477977156</v>
      </c>
      <c r="AI18" s="39">
        <v>0.41085295269168021</v>
      </c>
      <c r="AJ18" s="16">
        <v>0.73119858890701472</v>
      </c>
      <c r="AK18" s="5">
        <v>0.53468898902063888</v>
      </c>
      <c r="AL18" s="5">
        <v>0.96088071889810489</v>
      </c>
      <c r="AM18" s="19">
        <v>7.3423518918774828</v>
      </c>
      <c r="AO18" s="19">
        <v>40.039316938869689</v>
      </c>
      <c r="AP18" s="39">
        <v>0.56055043714417563</v>
      </c>
    </row>
    <row r="19" spans="1:42" s="38" customFormat="1">
      <c r="A19" s="61">
        <v>3</v>
      </c>
      <c r="B19" s="38" t="s">
        <v>44</v>
      </c>
      <c r="C19" s="38" t="s">
        <v>0</v>
      </c>
      <c r="D19" s="36">
        <v>38161</v>
      </c>
      <c r="E19" s="46">
        <v>0.3527777777777778</v>
      </c>
      <c r="F19" s="19"/>
      <c r="G19" s="19"/>
      <c r="H19" s="19"/>
      <c r="I19" s="20">
        <v>2.6</v>
      </c>
      <c r="J19" s="20">
        <v>20.100000000000001</v>
      </c>
      <c r="K19" s="19">
        <v>5.08</v>
      </c>
      <c r="L19" s="20">
        <v>70.099999999999994</v>
      </c>
      <c r="M19" s="20"/>
      <c r="O19" s="40"/>
      <c r="R19" s="20"/>
      <c r="S19" s="19">
        <v>0.26340956340956345</v>
      </c>
      <c r="T19" s="19">
        <v>2.2320612670209696</v>
      </c>
      <c r="U19" s="16">
        <v>3.1248857738293577E-2</v>
      </c>
      <c r="V19" s="19">
        <v>0.2188841201716738</v>
      </c>
      <c r="W19" s="16">
        <v>3.0643776824034333E-3</v>
      </c>
      <c r="X19" s="19">
        <v>2.4509453871926432</v>
      </c>
      <c r="Y19" s="19"/>
      <c r="Z19" s="19">
        <v>62.947975439837109</v>
      </c>
      <c r="AA19" s="19">
        <v>10.00037142857143</v>
      </c>
      <c r="AB19" s="19">
        <v>0.60822357142856942</v>
      </c>
      <c r="AC19" s="19">
        <v>10.608594999999999</v>
      </c>
      <c r="AD19" s="19"/>
      <c r="AE19" s="19">
        <v>0.94266690627471694</v>
      </c>
      <c r="AF19" s="19">
        <v>84.524127898125187</v>
      </c>
      <c r="AG19" s="19">
        <v>12.689315991225946</v>
      </c>
      <c r="AH19" s="19">
        <v>65.398920827029755</v>
      </c>
      <c r="AI19" s="39">
        <v>0.9155848915784166</v>
      </c>
      <c r="AJ19" s="19"/>
      <c r="AK19" s="5">
        <v>1.0932353154555798</v>
      </c>
      <c r="AL19" s="39"/>
      <c r="AM19" s="19">
        <v>6.6610468173831885</v>
      </c>
      <c r="AO19" s="19">
        <v>67.849866214222402</v>
      </c>
      <c r="AP19" s="39">
        <v>0.94989812699911369</v>
      </c>
    </row>
    <row r="20" spans="1:42" s="38" customFormat="1">
      <c r="A20" s="61">
        <v>3</v>
      </c>
      <c r="B20" s="38" t="s">
        <v>44</v>
      </c>
      <c r="C20" s="38" t="s">
        <v>0</v>
      </c>
      <c r="D20" s="36">
        <v>38175</v>
      </c>
      <c r="E20" s="46">
        <v>0.3576388888888889</v>
      </c>
      <c r="F20" s="19"/>
      <c r="G20" s="19"/>
      <c r="H20" s="19"/>
      <c r="I20" s="20">
        <v>2.5</v>
      </c>
      <c r="J20" s="20">
        <v>22.8</v>
      </c>
      <c r="K20" s="19">
        <v>4.5</v>
      </c>
      <c r="L20" s="20">
        <v>65</v>
      </c>
      <c r="M20" s="20"/>
      <c r="O20" s="40"/>
      <c r="R20" s="20"/>
      <c r="S20" s="19">
        <v>0.88027608066135488</v>
      </c>
      <c r="T20" s="19">
        <v>2.966699322360479</v>
      </c>
      <c r="U20" s="16">
        <v>4.1533790513046703E-2</v>
      </c>
      <c r="V20" s="19">
        <v>0.28594399999999998</v>
      </c>
      <c r="W20" s="16">
        <v>4.0032159999999995E-3</v>
      </c>
      <c r="X20" s="19">
        <v>3.2526433223604787</v>
      </c>
      <c r="Y20" s="19"/>
      <c r="Z20" s="19">
        <v>21.626088468556404</v>
      </c>
      <c r="AA20" s="19">
        <v>10.156892857142861</v>
      </c>
      <c r="AB20" s="19">
        <v>2.197857142857139</v>
      </c>
      <c r="AC20" s="19">
        <v>12.354749999999999</v>
      </c>
      <c r="AD20" s="19"/>
      <c r="AE20" s="19">
        <v>0.82210428030861504</v>
      </c>
      <c r="AF20" s="19">
        <v>91.193876467516787</v>
      </c>
      <c r="AG20" s="19">
        <v>15.668788978873485</v>
      </c>
      <c r="AH20" s="19">
        <v>24.878731790916884</v>
      </c>
      <c r="AI20" s="39">
        <v>0.34830224507283636</v>
      </c>
      <c r="AJ20" s="19"/>
      <c r="AK20" s="5">
        <v>0.56766529077706518</v>
      </c>
      <c r="AL20" s="39"/>
      <c r="AM20" s="19">
        <v>5.8200973023808773</v>
      </c>
      <c r="AO20" s="19">
        <v>28.131375113277365</v>
      </c>
      <c r="AP20" s="39">
        <v>0.39383925158588312</v>
      </c>
    </row>
    <row r="21" spans="1:42" s="38" customFormat="1">
      <c r="A21" s="61">
        <v>3</v>
      </c>
      <c r="B21" s="38" t="s">
        <v>44</v>
      </c>
      <c r="C21" s="38" t="s">
        <v>0</v>
      </c>
      <c r="D21" s="36">
        <v>38190</v>
      </c>
      <c r="E21" s="46">
        <v>0.34861111111111115</v>
      </c>
      <c r="F21" s="19"/>
      <c r="G21" s="19"/>
      <c r="H21" s="19"/>
      <c r="I21" s="20">
        <v>2.1</v>
      </c>
      <c r="J21" s="20">
        <v>24.4</v>
      </c>
      <c r="K21" s="19">
        <v>5.4</v>
      </c>
      <c r="L21" s="20">
        <v>74</v>
      </c>
      <c r="M21" s="20"/>
      <c r="O21" s="40"/>
      <c r="R21" s="20"/>
      <c r="S21" s="19">
        <v>0.80563258698051188</v>
      </c>
      <c r="T21" s="19">
        <v>1.4409155150753774</v>
      </c>
      <c r="U21" s="16">
        <v>2.0172817211055283E-2</v>
      </c>
      <c r="V21" s="19">
        <v>0.35568209021579289</v>
      </c>
      <c r="W21" s="16">
        <v>4.9795492630211003E-3</v>
      </c>
      <c r="X21" s="19">
        <v>1.7965976052911703</v>
      </c>
      <c r="Y21" s="19"/>
      <c r="Z21" s="19">
        <v>30.53714239470883</v>
      </c>
      <c r="AA21" s="19">
        <v>9.9814285714285713</v>
      </c>
      <c r="AB21" s="19">
        <v>1.6078964285714288</v>
      </c>
      <c r="AC21" s="19">
        <v>11.589325000000001</v>
      </c>
      <c r="AD21" s="19"/>
      <c r="AE21" s="19">
        <v>0.86126056275310003</v>
      </c>
      <c r="AF21" s="19">
        <v>96.840748957477757</v>
      </c>
      <c r="AG21" s="19">
        <v>15.902131690939393</v>
      </c>
      <c r="AH21" s="19">
        <v>32.333739999999999</v>
      </c>
      <c r="AI21" s="39">
        <v>0.45267236</v>
      </c>
      <c r="AJ21" s="19"/>
      <c r="AK21" s="5">
        <v>0.67530220367315152</v>
      </c>
      <c r="AL21" s="39"/>
      <c r="AM21" s="19">
        <v>6.089796691386665</v>
      </c>
      <c r="AO21" s="19">
        <v>34.130337605291167</v>
      </c>
      <c r="AP21" s="39">
        <v>0.47782472647407637</v>
      </c>
    </row>
    <row r="22" spans="1:42" s="38" customFormat="1">
      <c r="A22" s="61">
        <v>3</v>
      </c>
      <c r="B22" s="38" t="s">
        <v>44</v>
      </c>
      <c r="C22" s="38" t="s">
        <v>0</v>
      </c>
      <c r="D22" s="36">
        <v>38204</v>
      </c>
      <c r="E22" s="46">
        <v>0.3444444444444445</v>
      </c>
      <c r="F22" s="19"/>
      <c r="G22" s="19"/>
      <c r="H22" s="19"/>
      <c r="I22" s="20">
        <v>1.9</v>
      </c>
      <c r="J22" s="20">
        <v>24.5</v>
      </c>
      <c r="K22" s="19">
        <v>4.8600000000000003</v>
      </c>
      <c r="L22" s="20">
        <v>67.7</v>
      </c>
      <c r="M22" s="20"/>
      <c r="O22" s="40"/>
      <c r="R22" s="20"/>
      <c r="S22" s="19">
        <v>0.61216028474654083</v>
      </c>
      <c r="T22" s="19">
        <v>0.38882558222348607</v>
      </c>
      <c r="U22" s="16">
        <v>5.443558151128805E-3</v>
      </c>
      <c r="V22" s="19">
        <v>0.05</v>
      </c>
      <c r="W22" s="16">
        <v>7.000000000000001E-4</v>
      </c>
      <c r="X22" s="19">
        <v>0.41382558222348609</v>
      </c>
      <c r="Y22" s="19"/>
      <c r="Z22" s="19">
        <v>17.877502609721677</v>
      </c>
      <c r="AA22" s="19">
        <v>11.963507142857143</v>
      </c>
      <c r="AB22" s="19">
        <v>0.49154285714285739</v>
      </c>
      <c r="AC22" s="19">
        <v>12.45505</v>
      </c>
      <c r="AD22" s="19"/>
      <c r="AE22" s="19">
        <v>0.96053465404451555</v>
      </c>
      <c r="AF22" s="19">
        <v>71.992580046782535</v>
      </c>
      <c r="AG22" s="19">
        <v>11.437275618275288</v>
      </c>
      <c r="AH22" s="19">
        <v>18.291328191945162</v>
      </c>
      <c r="AI22" s="39">
        <v>0.25607859468723226</v>
      </c>
      <c r="AJ22" s="19"/>
      <c r="AK22" s="5">
        <v>0.41620045334308631</v>
      </c>
      <c r="AL22" s="39"/>
      <c r="AM22" s="19">
        <v>6.2945567152152648</v>
      </c>
      <c r="AO22" s="19">
        <v>18.705153774168647</v>
      </c>
      <c r="AP22" s="39">
        <v>0.26187215283836107</v>
      </c>
    </row>
    <row r="23" spans="1:42" s="38" customFormat="1">
      <c r="A23" s="61">
        <v>3</v>
      </c>
      <c r="B23" s="38" t="s">
        <v>44</v>
      </c>
      <c r="C23" s="38" t="s">
        <v>0</v>
      </c>
      <c r="D23" s="36">
        <v>38218</v>
      </c>
      <c r="E23" s="46"/>
      <c r="F23" s="19"/>
      <c r="G23" s="19"/>
      <c r="H23" s="19"/>
      <c r="I23" s="20">
        <v>1.8</v>
      </c>
      <c r="J23" s="20">
        <v>22.4</v>
      </c>
      <c r="K23" s="19">
        <v>5.75</v>
      </c>
      <c r="L23" s="20">
        <v>85</v>
      </c>
      <c r="M23" s="20"/>
      <c r="O23" s="40"/>
      <c r="R23" s="20"/>
      <c r="S23" s="19">
        <v>0.7255293518470517</v>
      </c>
      <c r="T23" s="19">
        <v>1.5551939196683455</v>
      </c>
      <c r="U23" s="16">
        <v>2.1772714875356838E-2</v>
      </c>
      <c r="V23" s="19">
        <v>0.2263431483191409</v>
      </c>
      <c r="W23" s="16">
        <v>3.1688040764679729E-3</v>
      </c>
      <c r="X23" s="19">
        <v>1.7815370679874865</v>
      </c>
      <c r="Y23" s="19"/>
      <c r="Z23" s="19">
        <v>20.108762846322712</v>
      </c>
      <c r="AA23" s="19">
        <v>7.3041714285714274</v>
      </c>
      <c r="AB23" s="19">
        <v>2.6449085714285712</v>
      </c>
      <c r="AC23" s="19">
        <v>9.9490799999999986</v>
      </c>
      <c r="AD23" s="19"/>
      <c r="AE23" s="19">
        <v>0.73415546247205055</v>
      </c>
      <c r="AF23" s="19">
        <v>74.195986960351291</v>
      </c>
      <c r="AG23" s="19">
        <v>11.863163382728207</v>
      </c>
      <c r="AH23" s="19">
        <v>21.890299914310198</v>
      </c>
      <c r="AI23" s="39">
        <v>0.30646419880034276</v>
      </c>
      <c r="AJ23" s="19"/>
      <c r="AK23" s="5">
        <v>0.47254848615853773</v>
      </c>
      <c r="AL23" s="39"/>
      <c r="AM23" s="19">
        <v>6.2543172142747832</v>
      </c>
      <c r="AO23" s="19">
        <v>23.671836982297684</v>
      </c>
      <c r="AP23" s="39">
        <v>0.33140571775216759</v>
      </c>
    </row>
    <row r="24" spans="1:42" s="38" customFormat="1">
      <c r="A24" s="61">
        <v>3</v>
      </c>
      <c r="B24" s="38" t="s">
        <v>44</v>
      </c>
      <c r="C24" s="38" t="s">
        <v>0</v>
      </c>
      <c r="D24" s="36">
        <v>38237</v>
      </c>
      <c r="E24" s="46">
        <v>0.34375</v>
      </c>
      <c r="F24" s="19"/>
      <c r="G24" s="19"/>
      <c r="H24" s="16">
        <v>1.5208333333333333</v>
      </c>
      <c r="I24" s="20">
        <v>2.4</v>
      </c>
      <c r="J24" s="20">
        <v>21</v>
      </c>
      <c r="K24" s="19">
        <v>5.29</v>
      </c>
      <c r="L24" s="20">
        <v>72.3</v>
      </c>
      <c r="M24" s="17">
        <v>5.5983333333333327</v>
      </c>
      <c r="O24" s="40"/>
      <c r="R24" s="20"/>
      <c r="S24" s="19">
        <v>0.46261682242990654</v>
      </c>
      <c r="T24" s="19">
        <v>0.72226007139214943</v>
      </c>
      <c r="U24" s="16">
        <v>1.0111640999490093E-2</v>
      </c>
      <c r="V24" s="19">
        <v>0.44121268082486914</v>
      </c>
      <c r="W24" s="16">
        <v>6.1769775315481685E-3</v>
      </c>
      <c r="X24" s="19">
        <v>1.1634727522170185</v>
      </c>
      <c r="Y24" s="16">
        <v>2.5674858060296679</v>
      </c>
      <c r="Z24" s="19">
        <v>19.923485259779554</v>
      </c>
      <c r="AA24" s="19">
        <v>10.708542857142858</v>
      </c>
      <c r="AB24" s="19">
        <v>1.2948171428571449</v>
      </c>
      <c r="AC24" s="19">
        <v>12.003360000000002</v>
      </c>
      <c r="AD24" s="16">
        <v>10.885719583333334</v>
      </c>
      <c r="AE24" s="19">
        <v>0.89212877537146729</v>
      </c>
      <c r="AF24" s="19">
        <v>73.38521793365733</v>
      </c>
      <c r="AG24" s="19">
        <v>11.281423582977535</v>
      </c>
      <c r="AH24" s="19">
        <v>21.086958011996572</v>
      </c>
      <c r="AI24" s="39">
        <v>0.295217412167952</v>
      </c>
      <c r="AJ24" s="16">
        <v>0.71404736975272531</v>
      </c>
      <c r="AK24" s="5">
        <v>0.45315734232963756</v>
      </c>
      <c r="AL24" s="5">
        <v>0.90704405306159941</v>
      </c>
      <c r="AM24" s="19">
        <v>6.5049607785659074</v>
      </c>
      <c r="AO24" s="19">
        <v>22.25043076421359</v>
      </c>
      <c r="AP24" s="39">
        <v>0.31150603069899024</v>
      </c>
    </row>
    <row r="25" spans="1:42" s="38" customFormat="1">
      <c r="A25" s="45">
        <v>3</v>
      </c>
      <c r="B25" s="47" t="s">
        <v>44</v>
      </c>
      <c r="C25" s="45" t="s">
        <v>0</v>
      </c>
      <c r="D25" s="62">
        <v>38517</v>
      </c>
      <c r="E25" s="63"/>
      <c r="F25" s="64"/>
      <c r="G25" s="19"/>
      <c r="H25" s="19"/>
      <c r="I25" s="21">
        <v>2.8</v>
      </c>
      <c r="J25" s="21">
        <v>20.8</v>
      </c>
      <c r="K25" s="22">
        <v>5.1100000000000003</v>
      </c>
      <c r="L25" s="21">
        <v>70.099999999999994</v>
      </c>
      <c r="M25" s="20"/>
      <c r="N25" s="19"/>
      <c r="O25" s="40"/>
      <c r="R25" s="21">
        <v>29.5</v>
      </c>
      <c r="S25" s="22">
        <v>0.54163614074476318</v>
      </c>
      <c r="T25" s="22">
        <v>4.2934313703711933</v>
      </c>
      <c r="U25" s="19">
        <v>6.0108039185196707E-2</v>
      </c>
      <c r="V25" s="22">
        <v>0.4001486620416253</v>
      </c>
      <c r="W25" s="19">
        <v>5.6020812685827542E-3</v>
      </c>
      <c r="X25" s="22">
        <v>4.693580032412819</v>
      </c>
      <c r="Y25" s="19"/>
      <c r="Z25" s="22">
        <v>48.972806035682602</v>
      </c>
      <c r="AA25" s="22">
        <v>14.265987142857149</v>
      </c>
      <c r="AB25" s="22">
        <v>0.90406091703868519</v>
      </c>
      <c r="AC25" s="22">
        <v>15.170048059895834</v>
      </c>
      <c r="AD25" s="19"/>
      <c r="AE25" s="22">
        <v>0.9404048745614263</v>
      </c>
      <c r="AF25" s="22">
        <v>91.456828868815364</v>
      </c>
      <c r="AG25" s="22">
        <v>15.989543964855566</v>
      </c>
      <c r="AH25" s="22">
        <v>64.962350000538166</v>
      </c>
      <c r="AI25" s="39">
        <v>0.90947290000753434</v>
      </c>
      <c r="AJ25" s="19"/>
      <c r="AK25" s="5">
        <v>0.97518302046131389</v>
      </c>
      <c r="AL25" s="39"/>
      <c r="AM25" s="22">
        <v>5.7197896994332131</v>
      </c>
      <c r="AO25" s="19">
        <v>69.655930032950991</v>
      </c>
      <c r="AP25" s="39">
        <v>0.97518302046131389</v>
      </c>
    </row>
    <row r="26" spans="1:42" s="38" customFormat="1">
      <c r="A26" s="45">
        <v>3</v>
      </c>
      <c r="B26" s="47" t="s">
        <v>44</v>
      </c>
      <c r="C26" s="45" t="s">
        <v>0</v>
      </c>
      <c r="D26" s="62">
        <v>38546</v>
      </c>
      <c r="E26" s="63"/>
      <c r="F26" s="19"/>
      <c r="G26" s="19"/>
      <c r="H26" s="19"/>
      <c r="I26" s="47">
        <v>1.5</v>
      </c>
      <c r="J26" s="21">
        <v>22</v>
      </c>
      <c r="K26" s="22">
        <v>6.6</v>
      </c>
      <c r="L26" s="21">
        <v>93</v>
      </c>
      <c r="M26" s="20"/>
      <c r="N26" s="19"/>
      <c r="O26" s="40"/>
      <c r="R26" s="47">
        <v>29.1</v>
      </c>
      <c r="S26" s="22">
        <v>0.35741565881604076</v>
      </c>
      <c r="T26" s="22">
        <v>0.21180265400942511</v>
      </c>
      <c r="U26" s="19">
        <v>2.9652371561319515E-3</v>
      </c>
      <c r="V26" s="22">
        <v>0.24324826560951435</v>
      </c>
      <c r="W26" s="19">
        <v>3.4054757185332011E-3</v>
      </c>
      <c r="X26" s="22">
        <v>0.45505091961893945</v>
      </c>
      <c r="Y26" s="19"/>
      <c r="Z26" s="22">
        <v>28.713505230113679</v>
      </c>
      <c r="AA26" s="22">
        <v>10.861008571428572</v>
      </c>
      <c r="AB26" s="22">
        <v>1.2043974884672655</v>
      </c>
      <c r="AC26" s="22">
        <v>12.065406059895837</v>
      </c>
      <c r="AD26" s="19"/>
      <c r="AE26" s="22">
        <v>0.90017762498101428</v>
      </c>
      <c r="AF26" s="22">
        <v>87.27870378881812</v>
      </c>
      <c r="AG26" s="22">
        <v>14.908400422747894</v>
      </c>
      <c r="AH26" s="22">
        <v>43.621905652861571</v>
      </c>
      <c r="AI26" s="39">
        <v>0.61070667914006205</v>
      </c>
      <c r="AJ26" s="19"/>
      <c r="AK26" s="5">
        <v>0.61707739201472722</v>
      </c>
      <c r="AL26" s="39"/>
      <c r="AM26" s="22">
        <v>5.854330532713921</v>
      </c>
      <c r="AO26" s="19">
        <v>44.076956572480512</v>
      </c>
      <c r="AP26" s="39">
        <v>0.61707739201472722</v>
      </c>
    </row>
    <row r="27" spans="1:42" s="38" customFormat="1">
      <c r="A27" s="45">
        <v>3</v>
      </c>
      <c r="B27" s="47" t="s">
        <v>44</v>
      </c>
      <c r="C27" s="45" t="s">
        <v>0</v>
      </c>
      <c r="D27" s="62">
        <v>38559</v>
      </c>
      <c r="E27" s="63"/>
      <c r="F27" s="64">
        <v>2.6</v>
      </c>
      <c r="G27" s="19">
        <v>1.3</v>
      </c>
      <c r="H27" s="19"/>
      <c r="I27" s="21">
        <v>1.3</v>
      </c>
      <c r="J27" s="21">
        <v>23</v>
      </c>
      <c r="K27" s="22">
        <v>4.8499999999999996</v>
      </c>
      <c r="L27" s="21">
        <v>67</v>
      </c>
      <c r="M27" s="20"/>
      <c r="N27" s="19"/>
      <c r="O27" s="40"/>
      <c r="R27" s="47">
        <v>29.8</v>
      </c>
      <c r="S27" s="22">
        <v>0.3</v>
      </c>
      <c r="T27" s="22">
        <v>1.6500793770021893</v>
      </c>
      <c r="U27" s="19">
        <v>2.3101111278030651E-2</v>
      </c>
      <c r="V27" s="22">
        <v>0.18217294350842414</v>
      </c>
      <c r="W27" s="19">
        <v>2.550421209117938E-3</v>
      </c>
      <c r="X27" s="22">
        <v>1.8322523205106134</v>
      </c>
      <c r="Y27" s="19"/>
      <c r="Z27" s="22">
        <v>14.175281844670609</v>
      </c>
      <c r="AA27" s="22">
        <v>14.662954696998241</v>
      </c>
      <c r="AB27" s="22">
        <v>2.3647534868658568</v>
      </c>
      <c r="AC27" s="22">
        <v>17.0277081838641</v>
      </c>
      <c r="AD27" s="19"/>
      <c r="AE27" s="22">
        <v>0.86112320804823517</v>
      </c>
      <c r="AF27" s="22">
        <v>100.61227069001643</v>
      </c>
      <c r="AG27" s="22">
        <v>17.035281636578425</v>
      </c>
      <c r="AH27" s="22">
        <v>31.210563481249032</v>
      </c>
      <c r="AI27" s="39">
        <v>0.43694788873748647</v>
      </c>
      <c r="AJ27" s="19"/>
      <c r="AK27" s="5">
        <v>0.46259942122463504</v>
      </c>
      <c r="AL27" s="39"/>
      <c r="AM27" s="22">
        <v>5.9061113773417269</v>
      </c>
      <c r="AO27" s="19">
        <v>33.042815801759645</v>
      </c>
      <c r="AP27" s="39">
        <v>0.46259942122463504</v>
      </c>
    </row>
    <row r="28" spans="1:42" s="38" customFormat="1">
      <c r="A28" s="45">
        <v>3</v>
      </c>
      <c r="B28" s="47" t="s">
        <v>44</v>
      </c>
      <c r="C28" s="45" t="s">
        <v>0</v>
      </c>
      <c r="D28" s="62">
        <v>38574</v>
      </c>
      <c r="E28" s="63"/>
      <c r="F28" s="64"/>
      <c r="G28" s="19"/>
      <c r="H28" s="19"/>
      <c r="I28" s="21">
        <v>2.1</v>
      </c>
      <c r="J28" s="21">
        <v>25</v>
      </c>
      <c r="K28" s="22">
        <v>3.87</v>
      </c>
      <c r="L28" s="21">
        <v>54</v>
      </c>
      <c r="M28" s="20"/>
      <c r="N28" s="19"/>
      <c r="O28" s="40"/>
      <c r="R28" s="21">
        <v>29.8</v>
      </c>
      <c r="S28" s="22">
        <v>0.84550067114093963</v>
      </c>
      <c r="T28" s="22">
        <v>2.6344887265035335</v>
      </c>
      <c r="U28" s="19">
        <v>3.6882842171049472E-2</v>
      </c>
      <c r="V28" s="22">
        <v>0.61180599999999996</v>
      </c>
      <c r="W28" s="19">
        <v>8.5652839999999994E-3</v>
      </c>
      <c r="X28" s="22">
        <v>3.2462947265035336</v>
      </c>
      <c r="Y28" s="19"/>
      <c r="Z28" s="22">
        <v>18.376215273496463</v>
      </c>
      <c r="AA28" s="22">
        <v>10.264868667521966</v>
      </c>
      <c r="AB28" s="22">
        <v>5.2285117786704269</v>
      </c>
      <c r="AC28" s="22">
        <v>15.493380446192393</v>
      </c>
      <c r="AD28" s="19"/>
      <c r="AE28" s="22">
        <v>0.66253253789069833</v>
      </c>
      <c r="AF28" s="22">
        <v>98.888452531816384</v>
      </c>
      <c r="AG28" s="22">
        <v>17.232542914436667</v>
      </c>
      <c r="AH28" s="22">
        <v>35.608758187933134</v>
      </c>
      <c r="AI28" s="39">
        <v>0.4985226146310639</v>
      </c>
      <c r="AJ28" s="19"/>
      <c r="AK28" s="5">
        <v>0.54397074080211338</v>
      </c>
      <c r="AL28" s="39"/>
      <c r="AM28" s="22">
        <v>5.7384712762834313</v>
      </c>
      <c r="AO28" s="19">
        <v>38.855052914436669</v>
      </c>
      <c r="AP28" s="39">
        <v>0.54397074080211338</v>
      </c>
    </row>
    <row r="29" spans="1:42" s="38" customFormat="1">
      <c r="A29" s="45">
        <v>3</v>
      </c>
      <c r="B29" s="45" t="s">
        <v>44</v>
      </c>
      <c r="C29" s="45" t="s">
        <v>0</v>
      </c>
      <c r="D29" s="62">
        <v>38588</v>
      </c>
      <c r="E29" s="63"/>
      <c r="F29" s="64">
        <v>2.25</v>
      </c>
      <c r="G29" s="19">
        <v>1.42</v>
      </c>
      <c r="H29" s="19"/>
      <c r="I29" s="47">
        <v>1</v>
      </c>
      <c r="J29" s="21">
        <v>24</v>
      </c>
      <c r="K29" s="22">
        <v>7.32</v>
      </c>
      <c r="L29" s="21">
        <v>89.9</v>
      </c>
      <c r="M29" s="20"/>
      <c r="N29" s="19"/>
      <c r="O29" s="40"/>
      <c r="R29" s="21">
        <v>31.2</v>
      </c>
      <c r="S29" s="22">
        <v>0.94404337626598689</v>
      </c>
      <c r="T29" s="22">
        <v>0.75754443145345141</v>
      </c>
      <c r="U29" s="19">
        <v>1.060562204034832E-2</v>
      </c>
      <c r="V29" s="22">
        <v>0.05</v>
      </c>
      <c r="W29" s="19">
        <v>7.000000000000001E-4</v>
      </c>
      <c r="X29" s="22">
        <v>0.78254443145345143</v>
      </c>
      <c r="Y29" s="19"/>
      <c r="Z29" s="22">
        <v>14.957605568546548</v>
      </c>
      <c r="AA29" s="22">
        <v>10.645048988541298</v>
      </c>
      <c r="AB29" s="22">
        <v>1.2966468797073343</v>
      </c>
      <c r="AC29" s="22">
        <v>11.941695868248631</v>
      </c>
      <c r="AD29" s="19"/>
      <c r="AE29" s="22">
        <v>0.89141853100153523</v>
      </c>
      <c r="AF29" s="22">
        <v>79.421297436527851</v>
      </c>
      <c r="AG29" s="22">
        <v>13.50903857592373</v>
      </c>
      <c r="AH29" s="22">
        <v>28.46664414447028</v>
      </c>
      <c r="AI29" s="39">
        <v>0.39853301802258395</v>
      </c>
      <c r="AJ29" s="19"/>
      <c r="AK29" s="5">
        <v>0.40948864006293223</v>
      </c>
      <c r="AL29" s="39"/>
      <c r="AM29" s="22">
        <v>5.8791228546845069</v>
      </c>
      <c r="AO29" s="19">
        <v>29.249188575923732</v>
      </c>
      <c r="AP29" s="39">
        <v>0.40948864006293223</v>
      </c>
    </row>
    <row r="30" spans="1:42" s="38" customFormat="1">
      <c r="A30" s="45">
        <v>3</v>
      </c>
      <c r="B30" s="45" t="s">
        <v>44</v>
      </c>
      <c r="C30" s="45" t="s">
        <v>0</v>
      </c>
      <c r="D30" s="62">
        <v>38603</v>
      </c>
      <c r="E30" s="63"/>
      <c r="F30" s="64">
        <v>2.8</v>
      </c>
      <c r="G30" s="19">
        <v>1.45</v>
      </c>
      <c r="H30" s="16">
        <v>1.3783333333333332</v>
      </c>
      <c r="I30" s="47">
        <v>1.4</v>
      </c>
      <c r="J30" s="21">
        <v>21</v>
      </c>
      <c r="K30" s="22">
        <v>8.31</v>
      </c>
      <c r="L30" s="21">
        <v>95.7</v>
      </c>
      <c r="M30" s="17">
        <v>5.8829999999999991</v>
      </c>
      <c r="N30" s="19"/>
      <c r="O30" s="40"/>
      <c r="R30" s="21">
        <v>30.5</v>
      </c>
      <c r="S30" s="22">
        <v>0.54315956694122203</v>
      </c>
      <c r="T30" s="22">
        <v>1.8428076722379472</v>
      </c>
      <c r="U30" s="19">
        <v>2.5799307411331261E-2</v>
      </c>
      <c r="V30" s="22">
        <v>0.31274777006937554</v>
      </c>
      <c r="W30" s="19">
        <v>4.3784687809712581E-3</v>
      </c>
      <c r="X30" s="22">
        <v>2.1555554423073229</v>
      </c>
      <c r="Y30" s="16">
        <v>2.0194309846746883</v>
      </c>
      <c r="Z30" s="22">
        <v>25.824644557692679</v>
      </c>
      <c r="AA30" s="22">
        <v>14.222224321266971</v>
      </c>
      <c r="AB30" s="22">
        <v>0.46052072203660022</v>
      </c>
      <c r="AC30" s="22">
        <v>14.682745043303571</v>
      </c>
      <c r="AD30" s="16">
        <v>15.619119268095782</v>
      </c>
      <c r="AE30" s="22">
        <v>0.96863524356798447</v>
      </c>
      <c r="AF30" s="22">
        <v>110.91644084448764</v>
      </c>
      <c r="AG30" s="22">
        <v>17.470393112343931</v>
      </c>
      <c r="AH30" s="22">
        <v>43.295037670036606</v>
      </c>
      <c r="AI30" s="39">
        <v>0.60613052738051254</v>
      </c>
      <c r="AJ30" s="16">
        <v>0.61121091824245111</v>
      </c>
      <c r="AK30" s="5">
        <v>0.63630830357281509</v>
      </c>
      <c r="AL30" s="5">
        <v>0.63948295202789673</v>
      </c>
      <c r="AM30" s="22">
        <v>6.3488234140603392</v>
      </c>
      <c r="AO30" s="19">
        <v>45.450593112343931</v>
      </c>
      <c r="AP30" s="39">
        <v>0.63630830357281509</v>
      </c>
    </row>
    <row r="31" spans="1:42" s="38" customFormat="1">
      <c r="A31" s="38">
        <v>3</v>
      </c>
      <c r="B31" s="38" t="s">
        <v>44</v>
      </c>
      <c r="C31" s="45" t="s">
        <v>0</v>
      </c>
      <c r="D31" s="36">
        <v>38888</v>
      </c>
      <c r="E31" s="63"/>
      <c r="F31" s="19" t="s">
        <v>47</v>
      </c>
      <c r="G31" s="19"/>
      <c r="H31" s="16"/>
      <c r="I31" s="38" t="s">
        <v>47</v>
      </c>
      <c r="J31" s="20">
        <v>21.5</v>
      </c>
      <c r="K31" s="22">
        <v>5.55</v>
      </c>
      <c r="L31" s="21">
        <v>78.5</v>
      </c>
      <c r="M31" s="17"/>
      <c r="N31" s="19"/>
      <c r="O31" s="40"/>
      <c r="R31" s="20">
        <v>29.5</v>
      </c>
      <c r="S31" s="29">
        <v>0.2</v>
      </c>
      <c r="T31" s="20">
        <v>2.1273708618304403</v>
      </c>
      <c r="U31" s="19">
        <v>2.9783192065626164E-2</v>
      </c>
      <c r="V31" s="22">
        <v>0.24772497472194135</v>
      </c>
      <c r="W31" s="19">
        <v>3.4681496461071788E-3</v>
      </c>
      <c r="X31" s="19">
        <v>2.3750958365523815</v>
      </c>
      <c r="Y31" s="16"/>
      <c r="Z31" s="19">
        <v>57.873604163447617</v>
      </c>
      <c r="AA31" s="19">
        <v>6.6138956024096371</v>
      </c>
      <c r="AB31" s="19">
        <v>4.9081767038403603</v>
      </c>
      <c r="AC31" s="19">
        <v>11.522072306249997</v>
      </c>
      <c r="AD31" s="16"/>
      <c r="AE31" s="19">
        <v>0.5740196230865533</v>
      </c>
      <c r="AF31" s="19">
        <v>97.869886522801323</v>
      </c>
      <c r="AG31" s="19">
        <v>13.782623877654251</v>
      </c>
      <c r="AH31" s="19">
        <v>71.656228041101869</v>
      </c>
      <c r="AI31" s="39">
        <v>1.0031871925754261</v>
      </c>
      <c r="AJ31" s="16"/>
      <c r="AK31" s="5">
        <v>1.0364385342871594</v>
      </c>
      <c r="AL31" s="5"/>
      <c r="AM31" s="19">
        <v>7.1009618626738877</v>
      </c>
      <c r="AO31" s="19">
        <v>74.031323877654245</v>
      </c>
      <c r="AP31" s="39">
        <v>1.0364385342871594</v>
      </c>
    </row>
    <row r="32" spans="1:42" s="38" customFormat="1">
      <c r="A32" s="38">
        <v>3</v>
      </c>
      <c r="B32" s="38" t="s">
        <v>44</v>
      </c>
      <c r="C32" s="45" t="s">
        <v>0</v>
      </c>
      <c r="D32" s="36">
        <v>38903</v>
      </c>
      <c r="E32" s="63"/>
      <c r="F32" s="19"/>
      <c r="G32" s="19"/>
      <c r="H32" s="16"/>
      <c r="I32" s="38">
        <v>2.5</v>
      </c>
      <c r="J32" s="20">
        <v>23.9</v>
      </c>
      <c r="K32" s="22">
        <v>3.605</v>
      </c>
      <c r="L32" s="21">
        <v>48.3</v>
      </c>
      <c r="M32" s="17"/>
      <c r="N32" s="19"/>
      <c r="O32" s="40"/>
      <c r="R32" s="20">
        <v>28.7</v>
      </c>
      <c r="S32" s="29">
        <v>0.66279318457261005</v>
      </c>
      <c r="T32" s="20">
        <v>4.6134902545220768</v>
      </c>
      <c r="U32" s="19">
        <v>6.4588863563309076E-2</v>
      </c>
      <c r="V32" s="22">
        <v>0.28564000000000001</v>
      </c>
      <c r="W32" s="19">
        <v>3.9989600000000002E-3</v>
      </c>
      <c r="X32" s="19">
        <v>4.8991302545220767</v>
      </c>
      <c r="Y32" s="16"/>
      <c r="Z32" s="19">
        <v>31.837982024131357</v>
      </c>
      <c r="AA32" s="19">
        <v>3.4374797468354426</v>
      </c>
      <c r="AB32" s="19">
        <v>9.535972335977057</v>
      </c>
      <c r="AC32" s="19">
        <v>12.9734520828125</v>
      </c>
      <c r="AD32" s="16"/>
      <c r="AE32" s="19">
        <v>0.26496261171608193</v>
      </c>
      <c r="AF32" s="19">
        <v>88.350133510071473</v>
      </c>
      <c r="AG32" s="19">
        <v>13.946865021307532</v>
      </c>
      <c r="AH32" s="19">
        <v>45.784847045438887</v>
      </c>
      <c r="AI32" s="39">
        <v>0.64098785863614449</v>
      </c>
      <c r="AJ32" s="16"/>
      <c r="AK32" s="5">
        <v>0.70957568219945355</v>
      </c>
      <c r="AL32" s="5"/>
      <c r="AM32" s="19">
        <v>6.3347665138433067</v>
      </c>
      <c r="AO32" s="19">
        <v>50.683977299960965</v>
      </c>
      <c r="AP32" s="39">
        <v>0.70957568219945355</v>
      </c>
    </row>
    <row r="33" spans="1:43" s="38" customFormat="1">
      <c r="A33" s="38">
        <v>3</v>
      </c>
      <c r="B33" s="38" t="s">
        <v>44</v>
      </c>
      <c r="C33" s="45" t="s">
        <v>0</v>
      </c>
      <c r="D33" s="36">
        <v>38917</v>
      </c>
      <c r="E33" s="66"/>
      <c r="F33" s="19"/>
      <c r="G33" s="19"/>
      <c r="H33" s="16"/>
      <c r="J33" s="20">
        <v>25.6</v>
      </c>
      <c r="K33" s="22">
        <v>4.3150000000000004</v>
      </c>
      <c r="L33" s="21">
        <v>59.3</v>
      </c>
      <c r="M33" s="17"/>
      <c r="N33" s="19"/>
      <c r="O33" s="40"/>
      <c r="R33" s="20">
        <v>29.2</v>
      </c>
      <c r="S33" s="29">
        <v>0.48613619721747614</v>
      </c>
      <c r="T33" s="20">
        <v>2.5324120569957502</v>
      </c>
      <c r="U33" s="19">
        <v>3.5453768797940502E-2</v>
      </c>
      <c r="V33" s="22">
        <v>0.21031344792719919</v>
      </c>
      <c r="W33" s="19">
        <v>2.9443882709807886E-3</v>
      </c>
      <c r="X33" s="19">
        <v>2.7427255049229493</v>
      </c>
      <c r="Y33" s="16"/>
      <c r="Z33" s="19">
        <v>27.281018414127452</v>
      </c>
      <c r="AA33" s="19">
        <v>9.6710981012658248</v>
      </c>
      <c r="AB33" s="19">
        <v>4.6524539299841789</v>
      </c>
      <c r="AC33" s="19">
        <v>14.323552031250003</v>
      </c>
      <c r="AD33" s="16"/>
      <c r="AE33" s="19">
        <v>0.67518853425227077</v>
      </c>
      <c r="AF33" s="19">
        <v>130.95849546693842</v>
      </c>
      <c r="AG33" s="19">
        <v>22.401728163881458</v>
      </c>
      <c r="AH33" s="19">
        <v>49.68274657800891</v>
      </c>
      <c r="AI33" s="39">
        <v>0.69555845209212475</v>
      </c>
      <c r="AJ33" s="16"/>
      <c r="AK33" s="5">
        <v>0.7339566091610461</v>
      </c>
      <c r="AL33" s="5"/>
      <c r="AM33" s="19">
        <v>5.8459103917743356</v>
      </c>
      <c r="AO33" s="19">
        <v>52.425472082931861</v>
      </c>
      <c r="AP33" s="39">
        <v>0.7339566091610461</v>
      </c>
    </row>
    <row r="34" spans="1:43" s="38" customFormat="1">
      <c r="A34" s="38">
        <v>3</v>
      </c>
      <c r="B34" s="38" t="s">
        <v>44</v>
      </c>
      <c r="C34" s="45" t="s">
        <v>0</v>
      </c>
      <c r="D34" s="36">
        <v>38931</v>
      </c>
      <c r="E34" s="66"/>
      <c r="F34" s="19">
        <v>3.1</v>
      </c>
      <c r="G34" s="19"/>
      <c r="H34" s="16"/>
      <c r="J34" s="20">
        <v>26.5</v>
      </c>
      <c r="K34" s="22">
        <v>1.85</v>
      </c>
      <c r="L34" s="21">
        <v>32.15</v>
      </c>
      <c r="M34" s="17"/>
      <c r="N34" s="19"/>
      <c r="O34" s="40"/>
      <c r="R34" s="20">
        <v>30.3</v>
      </c>
      <c r="S34" s="29">
        <v>0.93008820646847445</v>
      </c>
      <c r="T34" s="20">
        <v>2.6833814333814345</v>
      </c>
      <c r="U34" s="19">
        <v>3.7567340067340083E-2</v>
      </c>
      <c r="V34" s="22">
        <v>0.96999806126405574</v>
      </c>
      <c r="W34" s="19">
        <v>1.3579972857696781E-2</v>
      </c>
      <c r="X34" s="19">
        <v>3.6533794946454901</v>
      </c>
      <c r="Y34" s="16"/>
      <c r="Z34" s="19">
        <v>46.640160981353326</v>
      </c>
      <c r="AA34" s="19">
        <v>7.2936268987341775</v>
      </c>
      <c r="AB34" s="19">
        <v>8.381507984078322</v>
      </c>
      <c r="AC34" s="19">
        <v>15.6751348828125</v>
      </c>
      <c r="AD34" s="16"/>
      <c r="AE34" s="19">
        <v>0.46529914755192991</v>
      </c>
      <c r="AF34" s="19">
        <v>122.45678358364867</v>
      </c>
      <c r="AG34" s="19">
        <v>22.464298555085605</v>
      </c>
      <c r="AH34" s="19">
        <v>69.104459536438924</v>
      </c>
      <c r="AI34" s="39">
        <v>0.96746243351014494</v>
      </c>
      <c r="AJ34" s="16"/>
      <c r="AK34" s="5">
        <v>1.0186097464351818</v>
      </c>
      <c r="AL34" s="5"/>
      <c r="AM34" s="19">
        <v>5.4511732598000995</v>
      </c>
      <c r="AO34" s="19">
        <v>72.757839031084416</v>
      </c>
      <c r="AP34" s="39">
        <v>1.0186097464351818</v>
      </c>
    </row>
    <row r="35" spans="1:43" s="38" customFormat="1">
      <c r="A35" s="38">
        <v>3</v>
      </c>
      <c r="B35" s="38" t="s">
        <v>44</v>
      </c>
      <c r="C35" s="45" t="s">
        <v>0</v>
      </c>
      <c r="D35" s="36">
        <v>38945</v>
      </c>
      <c r="E35" s="66"/>
      <c r="F35" s="19"/>
      <c r="G35" s="19"/>
      <c r="H35" s="16"/>
      <c r="J35" s="20">
        <v>22.7</v>
      </c>
      <c r="K35" s="22">
        <v>4.0350000000000001</v>
      </c>
      <c r="L35" s="21">
        <v>51.85</v>
      </c>
      <c r="M35" s="17"/>
      <c r="N35" s="19"/>
      <c r="O35" s="40"/>
      <c r="R35" s="20">
        <v>30.4</v>
      </c>
      <c r="S35" s="29">
        <v>1.3497102298626034</v>
      </c>
      <c r="T35" s="20">
        <v>9.2605219644409615</v>
      </c>
      <c r="U35" s="19">
        <v>0.12964730750217346</v>
      </c>
      <c r="V35" s="22">
        <v>1.0212335692618808</v>
      </c>
      <c r="W35" s="19">
        <v>1.4297269969666331E-2</v>
      </c>
      <c r="X35" s="19">
        <v>10.281755533702842</v>
      </c>
      <c r="Y35" s="16"/>
      <c r="Z35" s="19">
        <v>62.941054351488823</v>
      </c>
      <c r="AA35" s="19">
        <v>6.3839556962025323</v>
      </c>
      <c r="AB35" s="19">
        <v>7.1940613350474685</v>
      </c>
      <c r="AC35" s="19">
        <v>13.578017031250001</v>
      </c>
      <c r="AD35" s="16"/>
      <c r="AE35" s="19">
        <v>0.47016848494958924</v>
      </c>
      <c r="AF35" s="19">
        <v>96.36158337643684</v>
      </c>
      <c r="AG35" s="19">
        <v>14.450858598512216</v>
      </c>
      <c r="AH35" s="19">
        <v>77.391912950001043</v>
      </c>
      <c r="AI35" s="39">
        <v>1.0834867813000146</v>
      </c>
      <c r="AJ35" s="16"/>
      <c r="AK35" s="5">
        <v>1.2274313587718544</v>
      </c>
      <c r="AL35" s="5"/>
      <c r="AM35" s="19">
        <v>6.6682254704476671</v>
      </c>
      <c r="AO35" s="19">
        <v>87.673668483703892</v>
      </c>
      <c r="AP35" s="39">
        <v>1.2274313587718546</v>
      </c>
    </row>
    <row r="36" spans="1:43" s="38" customFormat="1">
      <c r="A36" s="38">
        <v>3</v>
      </c>
      <c r="B36" s="38" t="s">
        <v>44</v>
      </c>
      <c r="C36" s="45" t="s">
        <v>0</v>
      </c>
      <c r="D36" s="36">
        <v>38973</v>
      </c>
      <c r="E36" s="66"/>
      <c r="F36" s="19"/>
      <c r="G36" s="19"/>
      <c r="H36" s="16">
        <v>1.4333333333333333</v>
      </c>
      <c r="J36" s="20">
        <v>18.100000000000001</v>
      </c>
      <c r="K36" s="22">
        <v>7.17</v>
      </c>
      <c r="L36" s="21">
        <v>94.65</v>
      </c>
      <c r="M36" s="17">
        <v>4.805416666666666</v>
      </c>
      <c r="N36" s="19"/>
      <c r="O36" s="40"/>
      <c r="R36" s="20">
        <v>31.6</v>
      </c>
      <c r="S36" s="29">
        <v>0.88881141433686994</v>
      </c>
      <c r="T36" s="20">
        <v>1.0764581734458916</v>
      </c>
      <c r="U36" s="19">
        <v>1.5070414428242482E-2</v>
      </c>
      <c r="V36" s="22">
        <v>0.46208291203235596</v>
      </c>
      <c r="W36" s="19">
        <v>6.4691607684529834E-3</v>
      </c>
      <c r="X36" s="19">
        <v>1.5385410854782475</v>
      </c>
      <c r="Y36" s="16">
        <v>3.7888698602600761</v>
      </c>
      <c r="Z36" s="19">
        <v>37.241770259141319</v>
      </c>
      <c r="AA36" s="19">
        <v>14.980317405063285</v>
      </c>
      <c r="AB36" s="19">
        <v>3.3054251709783844</v>
      </c>
      <c r="AC36" s="19">
        <v>18.28574257604167</v>
      </c>
      <c r="AD36" s="16">
        <v>16.65852935173611</v>
      </c>
      <c r="AE36" s="19">
        <v>0.81923484062882868</v>
      </c>
      <c r="AF36" s="50">
        <v>0</v>
      </c>
      <c r="AG36" s="50">
        <v>0</v>
      </c>
      <c r="AH36" s="50">
        <v>0</v>
      </c>
      <c r="AI36" s="39">
        <v>0</v>
      </c>
      <c r="AJ36" s="16">
        <v>0.75110550549542887</v>
      </c>
      <c r="AK36" s="5">
        <v>0.54292435882467394</v>
      </c>
      <c r="AL36" s="16">
        <v>0.84759841550806814</v>
      </c>
      <c r="AM36" s="50" t="s">
        <v>47</v>
      </c>
      <c r="AO36" s="19">
        <v>1.5385410854782475</v>
      </c>
      <c r="AP36" s="39">
        <v>2.1539575196695467E-2</v>
      </c>
    </row>
    <row r="37" spans="1:43" s="38" customFormat="1">
      <c r="A37" s="38">
        <v>3</v>
      </c>
      <c r="B37" s="38" t="s">
        <v>44</v>
      </c>
      <c r="C37" s="45" t="s">
        <v>0</v>
      </c>
      <c r="D37" s="36">
        <v>39254</v>
      </c>
      <c r="E37" s="67"/>
      <c r="F37" s="64"/>
      <c r="G37" s="19"/>
      <c r="H37" s="16"/>
      <c r="I37" s="47"/>
      <c r="J37" s="21">
        <v>20.399999999999999</v>
      </c>
      <c r="K37" s="22">
        <v>5.68</v>
      </c>
      <c r="L37" s="21"/>
      <c r="M37" s="17"/>
      <c r="N37" s="19"/>
      <c r="O37" s="40"/>
      <c r="R37" s="20">
        <v>31</v>
      </c>
      <c r="S37" s="20">
        <v>1.0498270576667246</v>
      </c>
      <c r="T37" s="21">
        <v>14.002792490754466</v>
      </c>
      <c r="U37" s="19">
        <v>0.19603909487056254</v>
      </c>
      <c r="V37" s="22">
        <v>0.67095865607081784</v>
      </c>
      <c r="W37" s="19">
        <v>9.39342118499145E-3</v>
      </c>
      <c r="X37" s="22">
        <v>14.673751146825284</v>
      </c>
      <c r="Y37" s="16"/>
      <c r="Z37" s="22">
        <v>124.44796107268905</v>
      </c>
      <c r="AA37" s="19">
        <v>15.082041518987339</v>
      </c>
      <c r="AB37" s="19">
        <v>4.0437743476793298</v>
      </c>
      <c r="AC37" s="19">
        <v>19.12581586666667</v>
      </c>
      <c r="AD37" s="16"/>
      <c r="AE37" s="19">
        <v>0.78856983796821956</v>
      </c>
      <c r="AF37" s="19">
        <v>112.0845522964504</v>
      </c>
      <c r="AG37" s="19">
        <v>17.638974301441124</v>
      </c>
      <c r="AH37" s="19">
        <v>142.08693537413018</v>
      </c>
      <c r="AI37" s="39">
        <v>1.9892170952378225</v>
      </c>
      <c r="AJ37" s="16"/>
      <c r="AK37" s="5">
        <v>2.1946496112933764</v>
      </c>
      <c r="AL37" s="5"/>
      <c r="AM37" s="19">
        <v>6.3543690455568589</v>
      </c>
      <c r="AO37" s="19">
        <v>156.76068652095546</v>
      </c>
      <c r="AP37" s="39">
        <v>2.1946496112933764</v>
      </c>
    </row>
    <row r="38" spans="1:43" s="38" customFormat="1">
      <c r="A38" s="38">
        <v>3</v>
      </c>
      <c r="B38" s="38" t="s">
        <v>44</v>
      </c>
      <c r="C38" s="45" t="s">
        <v>0</v>
      </c>
      <c r="D38" s="36">
        <v>39282</v>
      </c>
      <c r="E38" s="67"/>
      <c r="F38" s="64"/>
      <c r="G38" s="19"/>
      <c r="H38" s="16"/>
      <c r="I38" s="47"/>
      <c r="J38" s="21">
        <v>24.4</v>
      </c>
      <c r="K38" s="22">
        <v>3.0150000000000001</v>
      </c>
      <c r="L38" s="21"/>
      <c r="M38" s="17"/>
      <c r="N38" s="19"/>
      <c r="O38" s="40"/>
      <c r="R38" s="20">
        <v>29.9</v>
      </c>
      <c r="S38" s="20">
        <v>1.3562901744719924</v>
      </c>
      <c r="T38" s="21">
        <v>9.2853452372731979</v>
      </c>
      <c r="U38" s="19">
        <v>0.12999483332182477</v>
      </c>
      <c r="V38" s="22">
        <v>0.89930590483854744</v>
      </c>
      <c r="W38" s="19">
        <v>1.2590282667739665E-2</v>
      </c>
      <c r="X38" s="22">
        <v>10.184651142111745</v>
      </c>
      <c r="Y38" s="16"/>
      <c r="Z38" s="22">
        <v>111.62704289807425</v>
      </c>
      <c r="AA38" s="19">
        <v>9.674519493670882</v>
      </c>
      <c r="AB38" s="19">
        <v>10.427920372995784</v>
      </c>
      <c r="AC38" s="19">
        <v>20.102439866666664</v>
      </c>
      <c r="AD38" s="16"/>
      <c r="AE38" s="19">
        <v>0.48126095925862789</v>
      </c>
      <c r="AF38" s="19">
        <v>202.71053095552216</v>
      </c>
      <c r="AG38" s="19">
        <v>25.895204900333034</v>
      </c>
      <c r="AH38" s="19">
        <v>137.52224779840728</v>
      </c>
      <c r="AI38" s="39">
        <v>1.925311469177702</v>
      </c>
      <c r="AJ38" s="16"/>
      <c r="AK38" s="5">
        <v>2.0678965851672664</v>
      </c>
      <c r="AL38" s="5"/>
      <c r="AM38" s="19">
        <v>7.8281107153129774</v>
      </c>
      <c r="AO38" s="19">
        <v>147.70689894051901</v>
      </c>
      <c r="AP38" s="39">
        <v>2.0678965851672664</v>
      </c>
    </row>
    <row r="39" spans="1:43" s="38" customFormat="1">
      <c r="A39" s="38">
        <v>3</v>
      </c>
      <c r="B39" s="38" t="s">
        <v>44</v>
      </c>
      <c r="C39" s="45" t="s">
        <v>0</v>
      </c>
      <c r="D39" s="36">
        <v>39301</v>
      </c>
      <c r="E39" s="67"/>
      <c r="F39" s="64"/>
      <c r="G39" s="19"/>
      <c r="H39" s="16"/>
      <c r="I39" s="47"/>
      <c r="J39" s="21">
        <v>24.9</v>
      </c>
      <c r="K39" s="22">
        <v>3.63</v>
      </c>
      <c r="L39" s="21"/>
      <c r="M39" s="17"/>
      <c r="N39" s="19"/>
      <c r="O39" s="40"/>
      <c r="R39" s="20">
        <v>30.4</v>
      </c>
      <c r="S39" s="20">
        <v>0.59138331704121327</v>
      </c>
      <c r="T39" s="21">
        <v>1.9568596894657824</v>
      </c>
      <c r="U39" s="19">
        <v>2.7396035652520953E-2</v>
      </c>
      <c r="V39" s="22">
        <v>0.74338597726586852</v>
      </c>
      <c r="W39" s="19">
        <v>1.0407403681722159E-2</v>
      </c>
      <c r="X39" s="22">
        <v>2.700245666731651</v>
      </c>
      <c r="Y39" s="16"/>
      <c r="Z39" s="22">
        <v>51.227563308041965</v>
      </c>
      <c r="AA39" s="19">
        <v>15.250901962025315</v>
      </c>
      <c r="AB39" s="19" t="s">
        <v>60</v>
      </c>
      <c r="AC39" s="19">
        <v>15.275901962025316</v>
      </c>
      <c r="AD39" s="16"/>
      <c r="AE39" s="19">
        <v>1</v>
      </c>
      <c r="AF39" s="19">
        <v>122.41720751381469</v>
      </c>
      <c r="AG39" s="19">
        <v>19.471279203106288</v>
      </c>
      <c r="AH39" s="19">
        <v>70.698842511148257</v>
      </c>
      <c r="AI39" s="39">
        <v>0.98978379515607562</v>
      </c>
      <c r="AJ39" s="16"/>
      <c r="AK39" s="5">
        <v>1.0275872344903187</v>
      </c>
      <c r="AL39" s="5"/>
      <c r="AM39" s="19">
        <v>6.2870654894766878</v>
      </c>
      <c r="AO39" s="19">
        <v>73.399088177879904</v>
      </c>
      <c r="AP39" s="39">
        <v>1.0275872344903187</v>
      </c>
    </row>
    <row r="40" spans="1:43" s="38" customFormat="1">
      <c r="A40" s="38">
        <v>3</v>
      </c>
      <c r="B40" s="38" t="s">
        <v>44</v>
      </c>
      <c r="C40" s="45" t="s">
        <v>0</v>
      </c>
      <c r="D40" s="36">
        <v>39315</v>
      </c>
      <c r="E40" s="67"/>
      <c r="F40" s="64"/>
      <c r="G40" s="19"/>
      <c r="H40" s="16"/>
      <c r="I40" s="47"/>
      <c r="J40" s="21">
        <v>22.2</v>
      </c>
      <c r="K40" s="22">
        <v>6.19</v>
      </c>
      <c r="L40" s="21"/>
      <c r="M40" s="17"/>
      <c r="N40" s="19" t="s">
        <v>49</v>
      </c>
      <c r="O40" s="40">
        <v>1</v>
      </c>
      <c r="P40" s="38" t="s">
        <v>61</v>
      </c>
      <c r="Q40" s="38" t="s">
        <v>62</v>
      </c>
      <c r="R40" s="20">
        <v>30.6</v>
      </c>
      <c r="S40" s="20">
        <v>0.5307851492212754</v>
      </c>
      <c r="T40" s="21">
        <v>1.2327425373134331</v>
      </c>
      <c r="U40" s="19">
        <v>1.7258395522388063E-2</v>
      </c>
      <c r="V40" s="22">
        <v>0.3561009958756664</v>
      </c>
      <c r="W40" s="19">
        <v>4.9854139422593298E-3</v>
      </c>
      <c r="X40" s="22">
        <v>1.5888435331890995</v>
      </c>
      <c r="Y40" s="16"/>
      <c r="Z40" s="22">
        <v>50.824484278014097</v>
      </c>
      <c r="AA40" s="19">
        <v>6.359869999999999</v>
      </c>
      <c r="AB40" s="19">
        <v>2.2320922421875018</v>
      </c>
      <c r="AC40" s="19">
        <v>8.5919622421875008</v>
      </c>
      <c r="AD40" s="16"/>
      <c r="AE40" s="19">
        <v>0.74021158621628036</v>
      </c>
      <c r="AF40" s="19">
        <v>61.215734063126902</v>
      </c>
      <c r="AG40" s="19">
        <v>9.0585246657142822</v>
      </c>
      <c r="AH40" s="19">
        <v>59.883008943728377</v>
      </c>
      <c r="AI40" s="39">
        <v>0.83836212521219733</v>
      </c>
      <c r="AJ40" s="16"/>
      <c r="AK40" s="5">
        <v>0.86060593467684465</v>
      </c>
      <c r="AL40" s="5"/>
      <c r="AM40" s="19">
        <v>6.7578039826753535</v>
      </c>
      <c r="AO40" s="19">
        <v>61.471852476917476</v>
      </c>
      <c r="AP40" s="39">
        <v>0.86060593467684465</v>
      </c>
    </row>
    <row r="41" spans="1:43" s="38" customFormat="1">
      <c r="A41" s="38">
        <v>3</v>
      </c>
      <c r="B41" s="38" t="s">
        <v>44</v>
      </c>
      <c r="C41" s="45" t="s">
        <v>0</v>
      </c>
      <c r="D41" s="36">
        <v>39343</v>
      </c>
      <c r="E41" s="67"/>
      <c r="F41" s="64"/>
      <c r="G41" s="19"/>
      <c r="H41" s="16">
        <v>1.3225</v>
      </c>
      <c r="I41" s="47"/>
      <c r="J41" s="21">
        <v>18.7</v>
      </c>
      <c r="K41" s="22">
        <v>6.71</v>
      </c>
      <c r="L41" s="21"/>
      <c r="M41" s="17">
        <v>5.3794999999999984</v>
      </c>
      <c r="N41" s="19"/>
      <c r="O41" s="40"/>
      <c r="R41" s="20">
        <v>29.2</v>
      </c>
      <c r="S41" s="20">
        <v>1.2944413744882886</v>
      </c>
      <c r="T41" s="21">
        <v>2.6127344347110353</v>
      </c>
      <c r="U41" s="19">
        <v>3.6578282085954497E-2</v>
      </c>
      <c r="V41" s="22">
        <v>0.54622271401267475</v>
      </c>
      <c r="W41" s="19">
        <v>7.6471179961774462E-3</v>
      </c>
      <c r="X41" s="22">
        <v>3.1589571487237098</v>
      </c>
      <c r="Y41" s="16"/>
      <c r="Z41" s="22">
        <v>23.054467508810539</v>
      </c>
      <c r="AA41" s="19">
        <v>8.1262374683544305</v>
      </c>
      <c r="AB41" s="19">
        <v>4.0253814238330694</v>
      </c>
      <c r="AC41" s="19">
        <v>12.1516188921875</v>
      </c>
      <c r="AD41" s="16"/>
      <c r="AE41" s="19">
        <v>0.66873702512007993</v>
      </c>
      <c r="AF41" s="19">
        <v>112.8476895828812</v>
      </c>
      <c r="AG41" s="19">
        <v>18.454264826214381</v>
      </c>
      <c r="AH41" s="19">
        <v>41.508732335024916</v>
      </c>
      <c r="AI41" s="39">
        <v>0.58112225269034889</v>
      </c>
      <c r="AJ41" s="16"/>
      <c r="AK41" s="5">
        <v>0.62534765277248083</v>
      </c>
      <c r="AL41" s="5"/>
      <c r="AM41" s="19">
        <v>6.1149924229211488</v>
      </c>
      <c r="AO41" s="19">
        <v>44.667689483748624</v>
      </c>
      <c r="AP41" s="39">
        <v>0.62534765277248072</v>
      </c>
    </row>
    <row r="42" spans="1:43" s="38" customFormat="1">
      <c r="A42" s="38">
        <v>3</v>
      </c>
      <c r="B42" s="38" t="s">
        <v>44</v>
      </c>
      <c r="C42" s="45" t="s">
        <v>0</v>
      </c>
      <c r="D42" s="36">
        <v>39638</v>
      </c>
      <c r="E42" s="67"/>
      <c r="F42" s="22">
        <v>3.3</v>
      </c>
      <c r="G42" s="22">
        <v>1.1000000000000001</v>
      </c>
      <c r="H42" s="16"/>
      <c r="I42" s="38">
        <v>2.8</v>
      </c>
      <c r="J42" s="21">
        <v>25.5</v>
      </c>
      <c r="K42" s="22">
        <v>3.2447645259756541</v>
      </c>
      <c r="L42" s="21">
        <v>100.1</v>
      </c>
      <c r="M42" s="17"/>
      <c r="N42" s="68" t="s">
        <v>63</v>
      </c>
      <c r="O42" s="69">
        <v>1</v>
      </c>
      <c r="P42" s="68" t="s">
        <v>64</v>
      </c>
      <c r="Q42" s="68" t="s">
        <v>63</v>
      </c>
      <c r="R42" s="21">
        <v>31.1</v>
      </c>
      <c r="S42" s="20">
        <v>0.94318294891440635</v>
      </c>
      <c r="T42" s="20">
        <v>2.6677607877671923</v>
      </c>
      <c r="U42" s="19">
        <v>3.7348651028740694E-2</v>
      </c>
      <c r="V42" s="22">
        <v>0.97786720321931597</v>
      </c>
      <c r="W42" s="19">
        <v>1.3690140845070423E-2</v>
      </c>
      <c r="X42" s="19">
        <v>3.6456279909865081</v>
      </c>
      <c r="Y42" s="16"/>
      <c r="Z42" s="22">
        <v>79.51108155798353</v>
      </c>
      <c r="AA42" s="22">
        <v>14.348209493670883</v>
      </c>
      <c r="AB42" s="22">
        <v>7.6166530271624504</v>
      </c>
      <c r="AC42" s="22">
        <v>21.964862520833332</v>
      </c>
      <c r="AD42" s="16"/>
      <c r="AE42" s="22">
        <v>0.65323465967801198</v>
      </c>
      <c r="AF42" s="22">
        <v>101.1927769534778</v>
      </c>
      <c r="AG42" s="22">
        <v>17.900961758712562</v>
      </c>
      <c r="AH42" s="22">
        <v>97.412043316696099</v>
      </c>
      <c r="AI42" s="39">
        <v>1.3637686064337453</v>
      </c>
      <c r="AJ42" s="16"/>
      <c r="AK42" s="5">
        <v>1.4148073983075564</v>
      </c>
      <c r="AL42" s="5"/>
      <c r="AM42" s="22">
        <v>5.6529240337730098</v>
      </c>
      <c r="AO42" s="19">
        <v>101.05767130768261</v>
      </c>
      <c r="AP42" s="39">
        <v>1.4148073983075566</v>
      </c>
    </row>
    <row r="43" spans="1:43" s="38" customFormat="1">
      <c r="A43" s="38">
        <v>3</v>
      </c>
      <c r="B43" s="38" t="s">
        <v>44</v>
      </c>
      <c r="C43" s="45" t="s">
        <v>0</v>
      </c>
      <c r="D43" s="36">
        <v>39653</v>
      </c>
      <c r="E43" s="67"/>
      <c r="F43" s="22">
        <v>3.1</v>
      </c>
      <c r="G43" s="22">
        <v>1.2</v>
      </c>
      <c r="H43" s="16"/>
      <c r="I43" s="38">
        <v>2.5</v>
      </c>
      <c r="J43" s="21">
        <v>25.1</v>
      </c>
      <c r="K43" s="22">
        <v>4.3379406673469338</v>
      </c>
      <c r="L43" s="21">
        <v>100</v>
      </c>
      <c r="M43" s="17"/>
      <c r="N43" s="68" t="s">
        <v>63</v>
      </c>
      <c r="O43" s="69">
        <v>1</v>
      </c>
      <c r="P43" s="68" t="s">
        <v>43</v>
      </c>
      <c r="Q43" s="68" t="s">
        <v>47</v>
      </c>
      <c r="R43" s="21">
        <v>31.9</v>
      </c>
      <c r="S43" s="20">
        <v>0.50647355613390577</v>
      </c>
      <c r="T43" s="20">
        <v>0.63121428012213099</v>
      </c>
      <c r="U43" s="19">
        <v>8.8369999217098334E-3</v>
      </c>
      <c r="V43" s="22">
        <v>0.2253</v>
      </c>
      <c r="W43" s="19">
        <v>3.1542000000000002E-3</v>
      </c>
      <c r="X43" s="19">
        <v>0.85651428012213104</v>
      </c>
      <c r="Y43" s="16"/>
      <c r="Z43" s="22">
        <v>27.447560229877869</v>
      </c>
      <c r="AA43" s="22">
        <v>14.437822784810127</v>
      </c>
      <c r="AB43" s="19">
        <v>5.9350062776898715</v>
      </c>
      <c r="AC43" s="22">
        <v>20.372829062499999</v>
      </c>
      <c r="AD43" s="16"/>
      <c r="AE43" s="19">
        <v>0.7086803084891945</v>
      </c>
      <c r="AF43" s="22">
        <v>126.00574956116175</v>
      </c>
      <c r="AG43" s="22">
        <v>20.530133422642805</v>
      </c>
      <c r="AH43" s="22">
        <v>47.977693652520671</v>
      </c>
      <c r="AI43" s="39">
        <v>0.67168771113528936</v>
      </c>
      <c r="AJ43" s="16"/>
      <c r="AK43" s="5">
        <v>0.68367891105699929</v>
      </c>
      <c r="AL43" s="5"/>
      <c r="AM43" s="22">
        <v>6.1376001298749117</v>
      </c>
      <c r="AO43" s="19">
        <v>48.834207932642805</v>
      </c>
      <c r="AP43" s="39">
        <v>0.68367891105699929</v>
      </c>
    </row>
    <row r="44" spans="1:43" s="38" customFormat="1">
      <c r="A44" s="38">
        <v>3</v>
      </c>
      <c r="B44" s="38" t="s">
        <v>44</v>
      </c>
      <c r="C44" s="45" t="s">
        <v>0</v>
      </c>
      <c r="D44" s="36">
        <v>39667</v>
      </c>
      <c r="E44" s="67"/>
      <c r="F44" s="22">
        <v>2.5</v>
      </c>
      <c r="G44" s="22">
        <v>1.5</v>
      </c>
      <c r="H44" s="16"/>
      <c r="I44" s="38">
        <v>2</v>
      </c>
      <c r="J44" s="21">
        <v>22.3</v>
      </c>
      <c r="K44" s="22">
        <v>4.3469741046095756</v>
      </c>
      <c r="L44" s="21">
        <v>100</v>
      </c>
      <c r="M44" s="17"/>
      <c r="N44" s="68" t="s">
        <v>66</v>
      </c>
      <c r="O44" s="69">
        <v>2</v>
      </c>
      <c r="P44" s="68" t="s">
        <v>59</v>
      </c>
      <c r="Q44" s="68" t="s">
        <v>67</v>
      </c>
      <c r="R44" s="21">
        <v>30.9</v>
      </c>
      <c r="S44" s="20">
        <v>0.68767580809411566</v>
      </c>
      <c r="T44" s="20">
        <v>0.83091325945739336</v>
      </c>
      <c r="U44" s="19">
        <v>1.1632785632403508E-2</v>
      </c>
      <c r="V44" s="22">
        <v>0.33645821424488392</v>
      </c>
      <c r="W44" s="19">
        <v>4.7104149994283747E-3</v>
      </c>
      <c r="X44" s="19">
        <v>1.1673714737022773</v>
      </c>
      <c r="Y44" s="16"/>
      <c r="Z44" s="22">
        <v>46.717594007605527</v>
      </c>
      <c r="AA44" s="22">
        <v>19.580107594936706</v>
      </c>
      <c r="AB44" s="19">
        <v>4.5919964675632956</v>
      </c>
      <c r="AC44" s="22">
        <v>24.172104062500001</v>
      </c>
      <c r="AD44" s="16"/>
      <c r="AE44" s="19">
        <v>0.81002909570097359</v>
      </c>
      <c r="AF44" s="22">
        <v>143.26872037226562</v>
      </c>
      <c r="AG44" s="22">
        <v>24.145244460546895</v>
      </c>
      <c r="AH44" s="22">
        <v>70.862838468152418</v>
      </c>
      <c r="AI44" s="39">
        <v>0.99207973855413389</v>
      </c>
      <c r="AJ44" s="16"/>
      <c r="AK44" s="5">
        <v>1.0084229391859658</v>
      </c>
      <c r="AL44" s="5"/>
      <c r="AM44" s="22">
        <v>5.9336206186011236</v>
      </c>
      <c r="AO44" s="19">
        <v>72.030209941854693</v>
      </c>
      <c r="AP44" s="39">
        <v>1.0084229391859658</v>
      </c>
    </row>
    <row r="45" spans="1:43" s="38" customFormat="1">
      <c r="A45" s="38">
        <v>3</v>
      </c>
      <c r="B45" s="38" t="s">
        <v>44</v>
      </c>
      <c r="C45" s="45" t="s">
        <v>0</v>
      </c>
      <c r="D45" s="36">
        <v>39686</v>
      </c>
      <c r="E45" s="67"/>
      <c r="F45" s="22">
        <v>3.1</v>
      </c>
      <c r="G45" s="22">
        <v>1.3</v>
      </c>
      <c r="H45" s="16"/>
      <c r="I45" s="38">
        <v>2</v>
      </c>
      <c r="J45" s="21">
        <v>23.2</v>
      </c>
      <c r="K45" s="22">
        <v>4.3495992601465066</v>
      </c>
      <c r="L45" s="21">
        <v>99.4</v>
      </c>
      <c r="M45" s="17"/>
      <c r="N45" s="68" t="s">
        <v>63</v>
      </c>
      <c r="O45" s="69">
        <v>1</v>
      </c>
      <c r="P45" s="68" t="s">
        <v>52</v>
      </c>
      <c r="Q45" s="68" t="s">
        <v>63</v>
      </c>
      <c r="R45" s="21">
        <v>31</v>
      </c>
      <c r="S45" s="20">
        <v>0.81367900744313182</v>
      </c>
      <c r="T45" s="20">
        <v>0.82351828022102702</v>
      </c>
      <c r="U45" s="19">
        <v>1.1529255923094379E-2</v>
      </c>
      <c r="V45" s="22">
        <v>0.13067337372813534</v>
      </c>
      <c r="W45" s="19">
        <v>1.8294272321938948E-3</v>
      </c>
      <c r="X45" s="19">
        <v>0.95419165394916239</v>
      </c>
      <c r="Y45" s="16"/>
      <c r="Z45" s="22">
        <v>29.591969606960049</v>
      </c>
      <c r="AA45" s="30">
        <v>13.327796202531648</v>
      </c>
      <c r="AB45" s="31">
        <v>0.91773979746835721</v>
      </c>
      <c r="AC45" s="22">
        <v>14.245536000000005</v>
      </c>
      <c r="AD45" s="16"/>
      <c r="AE45" s="31">
        <v>0.9355770258508801</v>
      </c>
      <c r="AF45" s="22">
        <v>108.74898963873569</v>
      </c>
      <c r="AG45" s="22">
        <v>15.189628480284497</v>
      </c>
      <c r="AH45" s="22">
        <v>44.781598087244546</v>
      </c>
      <c r="AI45" s="39">
        <v>0.62694237322142365</v>
      </c>
      <c r="AJ45" s="16"/>
      <c r="AK45" s="5">
        <v>0.64030105637671197</v>
      </c>
      <c r="AL45" s="5"/>
      <c r="AM45" s="22">
        <v>7.1594239306041842</v>
      </c>
      <c r="AO45" s="19">
        <v>45.735789741193706</v>
      </c>
      <c r="AP45" s="39">
        <v>0.64030105637671186</v>
      </c>
    </row>
    <row r="46" spans="1:43" s="49" customFormat="1">
      <c r="A46" s="38">
        <v>3</v>
      </c>
      <c r="B46" s="38" t="s">
        <v>44</v>
      </c>
      <c r="C46" s="45" t="s">
        <v>0</v>
      </c>
      <c r="D46" s="36">
        <v>39700</v>
      </c>
      <c r="E46" s="70"/>
      <c r="F46" s="22">
        <v>2</v>
      </c>
      <c r="G46" s="22">
        <v>1.3</v>
      </c>
      <c r="H46" s="16">
        <v>1.28</v>
      </c>
      <c r="I46" s="38">
        <v>1.5</v>
      </c>
      <c r="J46" s="21">
        <v>23.3</v>
      </c>
      <c r="K46" s="22">
        <v>4.9751605847580676</v>
      </c>
      <c r="L46" s="21">
        <v>100.6</v>
      </c>
      <c r="M46" s="16">
        <v>4.4737873374406103</v>
      </c>
      <c r="N46" s="68" t="s">
        <v>63</v>
      </c>
      <c r="O46" s="69">
        <v>2</v>
      </c>
      <c r="P46" s="68" t="s">
        <v>43</v>
      </c>
      <c r="Q46" s="68" t="s">
        <v>63</v>
      </c>
      <c r="R46" s="21">
        <v>30.5</v>
      </c>
      <c r="S46" s="20">
        <v>0.60141897354408891</v>
      </c>
      <c r="T46" s="20">
        <v>1.3665099208624842</v>
      </c>
      <c r="U46" s="19">
        <v>1.9131138892074781E-2</v>
      </c>
      <c r="V46" s="22">
        <v>0.13376014633588656</v>
      </c>
      <c r="W46" s="19">
        <v>1.872642048702412E-3</v>
      </c>
      <c r="X46" s="19">
        <v>1.5002700671983709</v>
      </c>
      <c r="Y46" s="16">
        <v>3.2584932755386689</v>
      </c>
      <c r="Z46" s="22">
        <v>22.977309716571334</v>
      </c>
      <c r="AA46" s="22">
        <v>12.410432474999997</v>
      </c>
      <c r="AB46" s="22">
        <v>11.013643950968758</v>
      </c>
      <c r="AC46" s="22">
        <v>23.424076425968757</v>
      </c>
      <c r="AD46" s="16">
        <v>17.77746159603668</v>
      </c>
      <c r="AE46" s="22">
        <v>0.52981523152995491</v>
      </c>
      <c r="AF46" s="22">
        <v>86.493918489993391</v>
      </c>
      <c r="AG46" s="22">
        <v>13.510450483985299</v>
      </c>
      <c r="AH46" s="22">
        <v>36.487760200556636</v>
      </c>
      <c r="AI46" s="39">
        <v>0.51082864280779294</v>
      </c>
      <c r="AJ46" s="16">
        <v>1.0194891719925037</v>
      </c>
      <c r="AK46" s="5">
        <v>0.53183242374857009</v>
      </c>
      <c r="AL46" s="16">
        <v>1.0651080778500446</v>
      </c>
      <c r="AM46" s="22">
        <v>6.4020010726155672</v>
      </c>
      <c r="AN46" s="22"/>
      <c r="AO46" s="19">
        <v>37.988030267755008</v>
      </c>
      <c r="AP46" s="39">
        <v>0.53183242374857009</v>
      </c>
      <c r="AQ46" s="19"/>
    </row>
    <row r="47" spans="1:43" s="38" customFormat="1">
      <c r="A47" s="38">
        <v>3</v>
      </c>
      <c r="B47" s="38" t="s">
        <v>44</v>
      </c>
      <c r="C47" s="45" t="s">
        <v>0</v>
      </c>
      <c r="D47" s="36">
        <v>40008</v>
      </c>
      <c r="E47" s="38" t="s">
        <v>47</v>
      </c>
      <c r="H47" s="16"/>
      <c r="I47" s="47"/>
      <c r="J47" s="20">
        <v>22.3</v>
      </c>
      <c r="K47" s="19">
        <v>4.4589205928197435</v>
      </c>
      <c r="L47" s="38">
        <v>5.3</v>
      </c>
      <c r="M47" s="17"/>
      <c r="R47" s="21">
        <v>29.8</v>
      </c>
      <c r="S47" s="20">
        <v>0.4</v>
      </c>
      <c r="T47" s="20">
        <v>1.5442640526880069</v>
      </c>
      <c r="U47" s="19">
        <v>2.1619696737632099E-2</v>
      </c>
      <c r="V47" s="22">
        <v>0.40504874145205882</v>
      </c>
      <c r="W47" s="19">
        <v>5.6706823803288238E-3</v>
      </c>
      <c r="X47" s="19">
        <v>1.9493127941400656</v>
      </c>
      <c r="Y47" s="16"/>
      <c r="Z47" s="22">
        <v>33.516290042739371</v>
      </c>
      <c r="AA47" s="32">
        <v>11.590363291139242</v>
      </c>
      <c r="AB47" s="32">
        <v>3.1998053807357585</v>
      </c>
      <c r="AC47" s="19">
        <v>14.790168671875001</v>
      </c>
      <c r="AD47" s="16"/>
      <c r="AE47" s="33">
        <v>0.78365321912653285</v>
      </c>
      <c r="AF47" s="22">
        <v>91.621344250499135</v>
      </c>
      <c r="AG47" s="22">
        <v>15.371939861016774</v>
      </c>
      <c r="AH47" s="22">
        <v>48.888229903756141</v>
      </c>
      <c r="AI47" s="39">
        <v>0.68443521865258594</v>
      </c>
      <c r="AJ47" s="16"/>
      <c r="AK47" s="5">
        <v>0.711725597770547</v>
      </c>
      <c r="AL47" s="5"/>
      <c r="AM47" s="22">
        <v>5.9602981197480993</v>
      </c>
      <c r="AO47" s="19">
        <v>50.837542697896204</v>
      </c>
      <c r="AP47" s="39">
        <v>0.71172559777054689</v>
      </c>
    </row>
    <row r="48" spans="1:43" s="38" customFormat="1">
      <c r="A48" s="38">
        <v>3</v>
      </c>
      <c r="B48" s="38" t="s">
        <v>44</v>
      </c>
      <c r="C48" s="45" t="s">
        <v>0</v>
      </c>
      <c r="D48" s="36">
        <v>40022</v>
      </c>
      <c r="E48" s="46">
        <v>0.33333333333333331</v>
      </c>
      <c r="H48" s="16"/>
      <c r="I48" s="47"/>
      <c r="J48" s="20">
        <v>24.3</v>
      </c>
      <c r="K48" s="19">
        <v>4.7231096730972268</v>
      </c>
      <c r="L48" s="38">
        <v>5.6</v>
      </c>
      <c r="M48" s="17"/>
      <c r="R48" s="21">
        <v>29.8</v>
      </c>
      <c r="S48" s="20">
        <v>0.7673478260869564</v>
      </c>
      <c r="T48" s="20">
        <v>1.0515681029085322</v>
      </c>
      <c r="U48" s="19">
        <v>1.4721953440719452E-2</v>
      </c>
      <c r="V48" s="22">
        <v>0.90237159901062125</v>
      </c>
      <c r="W48" s="19">
        <v>1.2633202386148698E-2</v>
      </c>
      <c r="X48" s="19">
        <v>1.9539397019191536</v>
      </c>
      <c r="Y48" s="16"/>
      <c r="Z48" s="22">
        <v>85.997970706512987</v>
      </c>
      <c r="AA48" s="32">
        <v>8.3297310126582271</v>
      </c>
      <c r="AB48" s="32">
        <v>1.836282180050109</v>
      </c>
      <c r="AC48" s="19">
        <v>10.166013192708336</v>
      </c>
      <c r="AD48" s="16"/>
      <c r="AE48" s="34">
        <v>0.81937047048422107</v>
      </c>
      <c r="AF48" s="22">
        <v>107.44830203315522</v>
      </c>
      <c r="AG48" s="22">
        <v>18.57660260022805</v>
      </c>
      <c r="AH48" s="22">
        <v>104.57457330674103</v>
      </c>
      <c r="AI48" s="39">
        <v>1.4640440262943744</v>
      </c>
      <c r="AJ48" s="16"/>
      <c r="AK48" s="5">
        <v>1.4913991821212427</v>
      </c>
      <c r="AL48" s="5"/>
      <c r="AM48" s="22">
        <v>5.7840663519300435</v>
      </c>
      <c r="AO48" s="19">
        <v>106.52851300866018</v>
      </c>
      <c r="AP48" s="39">
        <v>1.4913991821212427</v>
      </c>
    </row>
    <row r="49" spans="1:48" s="38" customFormat="1">
      <c r="A49" s="38">
        <v>3</v>
      </c>
      <c r="B49" s="38" t="s">
        <v>44</v>
      </c>
      <c r="C49" s="45" t="s">
        <v>0</v>
      </c>
      <c r="D49" s="36">
        <v>40037</v>
      </c>
      <c r="E49" s="46">
        <v>0.33333333333333331</v>
      </c>
      <c r="H49" s="16"/>
      <c r="I49" s="47"/>
      <c r="J49" s="20">
        <v>24.9</v>
      </c>
      <c r="K49" s="19">
        <v>1.8757700330873339</v>
      </c>
      <c r="L49" s="38">
        <v>2.23</v>
      </c>
      <c r="M49" s="17"/>
      <c r="R49" s="21">
        <v>30.4</v>
      </c>
      <c r="S49" s="20">
        <v>0.75835998653973791</v>
      </c>
      <c r="T49" s="20">
        <v>3.7334449560485563</v>
      </c>
      <c r="U49" s="19">
        <v>5.2268229384679787E-2</v>
      </c>
      <c r="V49" s="22">
        <v>0.39343809108104177</v>
      </c>
      <c r="W49" s="19">
        <v>5.5081332751345854E-3</v>
      </c>
      <c r="X49" s="19">
        <v>4.1268830471295983</v>
      </c>
      <c r="Y49" s="16"/>
      <c r="Z49" s="22">
        <v>43.876713710722477</v>
      </c>
      <c r="AA49" s="32">
        <v>5.049839240506329</v>
      </c>
      <c r="AB49" s="32">
        <v>2.0564374522020046</v>
      </c>
      <c r="AC49" s="19">
        <v>7.1062766927083336</v>
      </c>
      <c r="AD49" s="16"/>
      <c r="AE49" s="34">
        <v>0.71061674894926474</v>
      </c>
      <c r="AF49" s="22">
        <v>92.658833951199654</v>
      </c>
      <c r="AG49" s="22">
        <v>15.531255475349486</v>
      </c>
      <c r="AH49" s="22">
        <v>59.407969186071966</v>
      </c>
      <c r="AI49" s="39">
        <v>0.8317115686050075</v>
      </c>
      <c r="AJ49" s="16"/>
      <c r="AK49" s="5">
        <v>0.88948793126482184</v>
      </c>
      <c r="AL49" s="5"/>
      <c r="AM49" s="22">
        <v>5.965959036490232</v>
      </c>
      <c r="AO49" s="19">
        <v>63.534852233201562</v>
      </c>
      <c r="AP49" s="39">
        <v>0.88948793126482184</v>
      </c>
    </row>
    <row r="50" spans="1:48" s="49" customFormat="1">
      <c r="A50" s="38">
        <v>3</v>
      </c>
      <c r="B50" s="38" t="s">
        <v>44</v>
      </c>
      <c r="C50" s="45" t="s">
        <v>0</v>
      </c>
      <c r="D50" s="36">
        <v>40051</v>
      </c>
      <c r="E50" s="46">
        <v>0.33333333333333331</v>
      </c>
      <c r="F50" s="38"/>
      <c r="G50" s="38"/>
      <c r="H50" s="16">
        <v>1.3975</v>
      </c>
      <c r="I50" s="38"/>
      <c r="J50" s="20">
        <v>26.2</v>
      </c>
      <c r="K50" s="19">
        <v>2.5681368175598447</v>
      </c>
      <c r="L50" s="38">
        <v>3.05</v>
      </c>
      <c r="M50" s="16">
        <v>4.0830034652792699</v>
      </c>
      <c r="N50" s="38"/>
      <c r="O50" s="38"/>
      <c r="P50" s="38"/>
      <c r="Q50" s="35"/>
      <c r="R50" s="21">
        <v>30.5</v>
      </c>
      <c r="S50" s="20">
        <v>1.4165208365579847</v>
      </c>
      <c r="T50" s="20">
        <v>2.4756865186414885</v>
      </c>
      <c r="U50" s="19">
        <v>3.4659611260980841E-2</v>
      </c>
      <c r="V50" s="22">
        <v>0.38182744071002472</v>
      </c>
      <c r="W50" s="19">
        <v>5.3455841699403461E-3</v>
      </c>
      <c r="X50" s="19">
        <v>2.8575139593515133</v>
      </c>
      <c r="Y50" s="16">
        <v>2.4360443419606312</v>
      </c>
      <c r="Z50" s="22">
        <v>30.613408026464086</v>
      </c>
      <c r="AA50" s="32">
        <v>4.4739803797468358</v>
      </c>
      <c r="AB50" s="32">
        <v>2.1165078129614998</v>
      </c>
      <c r="AC50" s="19">
        <v>6.5904881927083352</v>
      </c>
      <c r="AD50" s="16">
        <v>10.817104250000002</v>
      </c>
      <c r="AE50" s="34">
        <v>0.67885416814748456</v>
      </c>
      <c r="AF50" s="22">
        <v>67.24033628403707</v>
      </c>
      <c r="AG50" s="22">
        <v>12.453028981947924</v>
      </c>
      <c r="AH50" s="22">
        <v>43.066437008412009</v>
      </c>
      <c r="AI50" s="39">
        <v>0.6029301181177682</v>
      </c>
      <c r="AJ50" s="16">
        <v>0.82740626991033439</v>
      </c>
      <c r="AK50" s="5">
        <v>0.64293531354868938</v>
      </c>
      <c r="AL50" s="16">
        <v>0.86151089069778319</v>
      </c>
      <c r="AM50" s="22">
        <v>5.3995165659302291</v>
      </c>
      <c r="AN50" s="22"/>
      <c r="AO50" s="19">
        <v>45.923950967763524</v>
      </c>
      <c r="AP50" s="39">
        <v>0.64293531354868938</v>
      </c>
      <c r="AQ50" s="19"/>
      <c r="AR50" s="44"/>
    </row>
    <row r="51" spans="1:48" s="49" customFormat="1">
      <c r="A51" s="38">
        <v>3</v>
      </c>
      <c r="B51" s="38" t="s">
        <v>44</v>
      </c>
      <c r="C51" s="45" t="s">
        <v>0</v>
      </c>
      <c r="D51" s="36">
        <v>40360</v>
      </c>
      <c r="E51" s="46">
        <v>0.34375</v>
      </c>
      <c r="F51" s="37"/>
      <c r="G51" s="37"/>
      <c r="H51" s="38"/>
      <c r="I51" s="38">
        <v>2.5</v>
      </c>
      <c r="J51" s="20">
        <v>21.6</v>
      </c>
      <c r="K51" s="19">
        <v>3.9702958122552809</v>
      </c>
      <c r="L51" s="38"/>
      <c r="M51" s="40"/>
      <c r="N51" s="38"/>
      <c r="O51" s="38"/>
      <c r="P51" s="38"/>
      <c r="Q51" s="38"/>
      <c r="R51" s="21">
        <v>30.4</v>
      </c>
      <c r="S51" s="20">
        <v>0.40897517504774039</v>
      </c>
      <c r="T51" s="21">
        <v>0.37131501704618008</v>
      </c>
      <c r="U51" s="19">
        <v>5.1984102386465215E-3</v>
      </c>
      <c r="V51" s="50">
        <v>0.36486090775988284</v>
      </c>
      <c r="W51" s="19">
        <v>5.1080527086383599E-3</v>
      </c>
      <c r="X51" s="50">
        <v>0.73617592480606286</v>
      </c>
      <c r="Y51" s="48"/>
      <c r="Z51" s="50">
        <v>21.94489737362326</v>
      </c>
      <c r="AA51" s="22">
        <v>12.910375000000002</v>
      </c>
      <c r="AB51" s="22">
        <v>4.440631999999999</v>
      </c>
      <c r="AC51" s="22">
        <v>17.351007000000003</v>
      </c>
      <c r="AD51" s="48"/>
      <c r="AE51" s="22">
        <v>0.74407064673537393</v>
      </c>
      <c r="AF51" s="22">
        <v>119.90468511059788</v>
      </c>
      <c r="AG51" s="22">
        <v>19.168361786352872</v>
      </c>
      <c r="AH51" s="22">
        <v>41.113259159976131</v>
      </c>
      <c r="AI51" s="19">
        <v>0.57558562823966586</v>
      </c>
      <c r="AJ51" s="48"/>
      <c r="AK51" s="5">
        <v>0.58589209118695074</v>
      </c>
      <c r="AL51" s="48"/>
      <c r="AM51" s="22">
        <v>6.2553433854720621</v>
      </c>
      <c r="AN51" s="22"/>
      <c r="AO51" s="19">
        <v>41.849435084782193</v>
      </c>
      <c r="AP51" s="39">
        <v>0.58589209118695074</v>
      </c>
      <c r="AQ51" s="19"/>
      <c r="AR51" s="44"/>
    </row>
    <row r="52" spans="1:48" s="49" customFormat="1">
      <c r="A52" s="38">
        <v>3</v>
      </c>
      <c r="B52" s="38" t="s">
        <v>44</v>
      </c>
      <c r="C52" s="45" t="s">
        <v>0</v>
      </c>
      <c r="D52" s="36">
        <v>40374</v>
      </c>
      <c r="E52" s="46">
        <v>0.33680555555555558</v>
      </c>
      <c r="F52" s="37"/>
      <c r="G52" s="37"/>
      <c r="H52" s="38"/>
      <c r="I52" s="38">
        <v>1.75</v>
      </c>
      <c r="J52" s="20">
        <v>25.4</v>
      </c>
      <c r="K52" s="19">
        <v>4.4768743218941252</v>
      </c>
      <c r="L52" s="38"/>
      <c r="M52" s="40"/>
      <c r="N52" s="38"/>
      <c r="O52" s="38"/>
      <c r="P52" s="38"/>
      <c r="Q52" s="38"/>
      <c r="R52" s="21">
        <v>30.1</v>
      </c>
      <c r="S52" s="20">
        <v>0.58912957531513466</v>
      </c>
      <c r="T52" s="21">
        <v>1.6138185168125285</v>
      </c>
      <c r="U52" s="19">
        <v>2.2593459235375399E-2</v>
      </c>
      <c r="V52" s="50">
        <v>0.44172767203513907</v>
      </c>
      <c r="W52" s="19">
        <v>6.1841874084919476E-3</v>
      </c>
      <c r="X52" s="50">
        <v>2.0555461888476678</v>
      </c>
      <c r="Y52" s="48"/>
      <c r="Z52" s="50">
        <v>21.980239151466471</v>
      </c>
      <c r="AA52" s="22">
        <v>10.825025</v>
      </c>
      <c r="AB52" s="22">
        <v>3.8710092499999993</v>
      </c>
      <c r="AC52" s="22">
        <v>14.69603425</v>
      </c>
      <c r="AD52" s="48"/>
      <c r="AE52" s="22">
        <v>0.73659497629436999</v>
      </c>
      <c r="AF52" s="22">
        <v>84.985768275363554</v>
      </c>
      <c r="AG52" s="22">
        <v>14.001632453283898</v>
      </c>
      <c r="AH52" s="22">
        <v>35.981871604750367</v>
      </c>
      <c r="AI52" s="19">
        <v>0.50374620246650514</v>
      </c>
      <c r="AJ52" s="48"/>
      <c r="AK52" s="5">
        <v>0.53252384911037254</v>
      </c>
      <c r="AL52" s="48"/>
      <c r="AM52" s="22">
        <v>6.0697042690498035</v>
      </c>
      <c r="AN52" s="22"/>
      <c r="AO52" s="19">
        <v>38.037417793598038</v>
      </c>
      <c r="AP52" s="39">
        <v>0.53252384911037254</v>
      </c>
      <c r="AQ52" s="19"/>
      <c r="AR52" s="44"/>
    </row>
    <row r="53" spans="1:48" s="38" customFormat="1">
      <c r="A53" s="38">
        <v>3</v>
      </c>
      <c r="B53" s="38" t="s">
        <v>44</v>
      </c>
      <c r="C53" s="45" t="s">
        <v>0</v>
      </c>
      <c r="D53" s="36">
        <v>40393</v>
      </c>
      <c r="E53" s="38" t="s">
        <v>47</v>
      </c>
      <c r="F53" s="37"/>
      <c r="G53" s="37"/>
      <c r="H53" s="16"/>
      <c r="I53" s="38">
        <v>2.5</v>
      </c>
      <c r="J53" s="20">
        <v>24</v>
      </c>
      <c r="K53" s="19">
        <v>4.9543966079129547</v>
      </c>
      <c r="L53" s="21"/>
      <c r="M53" s="17"/>
      <c r="N53" s="19"/>
      <c r="R53" s="21">
        <v>30.5</v>
      </c>
      <c r="S53" s="20">
        <v>0.57214984268335645</v>
      </c>
      <c r="T53" s="21">
        <v>2.9330293409473485</v>
      </c>
      <c r="U53" s="19">
        <v>4.1062410773262878E-2</v>
      </c>
      <c r="V53" s="50">
        <v>0.62684365781710905</v>
      </c>
      <c r="W53" s="19">
        <v>8.7758112094395262E-3</v>
      </c>
      <c r="X53" s="50">
        <v>3.5598729987644573</v>
      </c>
      <c r="Y53" s="16"/>
      <c r="Z53" s="50">
        <v>57.017088416730665</v>
      </c>
      <c r="AA53" s="22">
        <v>13.326550000000001</v>
      </c>
      <c r="AB53" s="22">
        <v>4.5688854999999977</v>
      </c>
      <c r="AC53" s="22">
        <v>17.895435499999998</v>
      </c>
      <c r="AD53" s="16"/>
      <c r="AE53" s="22">
        <v>0.74468989592346058</v>
      </c>
      <c r="AF53" s="22">
        <v>158.28280541382225</v>
      </c>
      <c r="AG53" s="22">
        <v>24.348693741623869</v>
      </c>
      <c r="AH53" s="22">
        <v>81.365782158354534</v>
      </c>
      <c r="AI53" s="19">
        <v>1.1391209502169635</v>
      </c>
      <c r="AJ53" s="16"/>
      <c r="AK53" s="5">
        <v>1.188959172199666</v>
      </c>
      <c r="AL53" s="16"/>
      <c r="AM53" s="22">
        <v>6.5006692799802739</v>
      </c>
      <c r="AO53" s="19">
        <v>84.925655157118996</v>
      </c>
      <c r="AP53" s="39">
        <v>1.188959172199666</v>
      </c>
    </row>
    <row r="54" spans="1:48" s="49" customFormat="1">
      <c r="A54" s="38">
        <v>3</v>
      </c>
      <c r="B54" s="38" t="s">
        <v>44</v>
      </c>
      <c r="C54" s="45" t="s">
        <v>0</v>
      </c>
      <c r="D54" s="36">
        <v>40407</v>
      </c>
      <c r="E54" s="38" t="s">
        <v>47</v>
      </c>
      <c r="F54" s="38"/>
      <c r="G54" s="36"/>
      <c r="H54" s="16">
        <v>1.46875</v>
      </c>
      <c r="I54" s="38">
        <v>2.5</v>
      </c>
      <c r="J54" s="20">
        <v>23.4</v>
      </c>
      <c r="K54" s="19">
        <v>3.8492029426937631</v>
      </c>
      <c r="L54" s="48"/>
      <c r="M54" s="16">
        <v>4.554945116984368</v>
      </c>
      <c r="N54" s="38"/>
      <c r="O54" s="38"/>
      <c r="P54" s="51"/>
      <c r="Q54" s="51"/>
      <c r="R54" s="21">
        <v>30.6</v>
      </c>
      <c r="S54" s="20">
        <v>0.76207833897169297</v>
      </c>
      <c r="T54" s="21">
        <v>0.76212288737956113</v>
      </c>
      <c r="U54" s="19">
        <v>1.0669720423313857E-2</v>
      </c>
      <c r="V54" s="50">
        <v>0.26477876106194692</v>
      </c>
      <c r="W54" s="19">
        <v>3.706902654867257E-3</v>
      </c>
      <c r="X54" s="50">
        <v>1.0269016484415081</v>
      </c>
      <c r="Y54" s="16">
        <v>2.5719703015764734</v>
      </c>
      <c r="Z54" s="50">
        <v>26.44008735869728</v>
      </c>
      <c r="AA54" s="22">
        <v>7.6254000000000008</v>
      </c>
      <c r="AB54" s="22">
        <v>1.2516127500000023</v>
      </c>
      <c r="AC54" s="22">
        <v>8.8770127500000022</v>
      </c>
      <c r="AD54" s="16">
        <v>14.824628968750003</v>
      </c>
      <c r="AE54" s="22">
        <v>0.85900518730245135</v>
      </c>
      <c r="AF54" s="22">
        <v>96.041951502084515</v>
      </c>
      <c r="AG54" s="22">
        <v>15.662588970747773</v>
      </c>
      <c r="AH54" s="22">
        <v>42.102676329445053</v>
      </c>
      <c r="AI54" s="19">
        <v>0.58943746861223079</v>
      </c>
      <c r="AJ54" s="16">
        <v>0.78670844010596264</v>
      </c>
      <c r="AK54" s="5">
        <v>0.60381409169041189</v>
      </c>
      <c r="AL54" s="16">
        <v>0.82271602432803326</v>
      </c>
      <c r="AM54" s="22">
        <v>6.1319333401047054</v>
      </c>
      <c r="AN54" s="22"/>
      <c r="AO54" s="19">
        <v>43.129577977886562</v>
      </c>
      <c r="AP54" s="39">
        <v>0.60381409169041189</v>
      </c>
      <c r="AQ54" s="22"/>
      <c r="AR54" s="22"/>
      <c r="AS54" s="37"/>
      <c r="AT54" s="52"/>
      <c r="AU54" s="52"/>
      <c r="AV54" s="52"/>
    </row>
    <row r="55" spans="1:48" s="49" customFormat="1">
      <c r="A55" s="38">
        <v>3</v>
      </c>
      <c r="B55" s="38" t="s">
        <v>44</v>
      </c>
      <c r="C55" s="45" t="s">
        <v>0</v>
      </c>
      <c r="D55" s="36">
        <v>40731</v>
      </c>
      <c r="E55" s="38" t="s">
        <v>47</v>
      </c>
      <c r="F55" s="38">
        <v>3.5</v>
      </c>
      <c r="G55" s="38">
        <v>1.5</v>
      </c>
      <c r="H55" s="7"/>
      <c r="I55" s="44"/>
      <c r="J55" s="20">
        <v>24.1</v>
      </c>
      <c r="K55" s="19">
        <v>3.2885007009480738</v>
      </c>
      <c r="L55" s="58"/>
      <c r="M55" s="59"/>
      <c r="N55" s="38">
        <v>1</v>
      </c>
      <c r="O55" s="38">
        <v>1</v>
      </c>
      <c r="P55" s="38" t="s">
        <v>53</v>
      </c>
      <c r="Q55" s="38" t="s">
        <v>63</v>
      </c>
      <c r="R55" s="20">
        <v>29.8</v>
      </c>
      <c r="S55" s="20">
        <v>0.3</v>
      </c>
      <c r="T55" s="21">
        <v>2.6158532832789714</v>
      </c>
      <c r="U55" s="19">
        <v>3.6621945965905602E-2</v>
      </c>
      <c r="V55" s="22">
        <v>6.5600338218714777E-2</v>
      </c>
      <c r="W55" s="19">
        <v>9.1840473506200687E-4</v>
      </c>
      <c r="X55" s="22">
        <v>2.6814536214976861</v>
      </c>
      <c r="Y55" s="53"/>
      <c r="Z55" s="22">
        <v>25.610045735857277</v>
      </c>
      <c r="AA55" s="22">
        <v>9.0052860759493676</v>
      </c>
      <c r="AB55" s="22">
        <v>4.8533414240506323</v>
      </c>
      <c r="AC55" s="19">
        <v>13.858627500000001</v>
      </c>
      <c r="AD55" s="53"/>
      <c r="AE55" s="55">
        <v>0.64979638683191154</v>
      </c>
      <c r="AF55" s="19">
        <v>112.0799719823751</v>
      </c>
      <c r="AG55" s="19">
        <v>17.515327007199335</v>
      </c>
      <c r="AH55" s="19">
        <v>43.125372743056616</v>
      </c>
      <c r="AI55" s="19">
        <v>0.60375521840279267</v>
      </c>
      <c r="AJ55" s="53"/>
      <c r="AK55" s="5">
        <v>0.64129556910376018</v>
      </c>
      <c r="AL55" s="53"/>
      <c r="AM55" s="19">
        <v>6.3989654281822315</v>
      </c>
      <c r="AN55" s="56"/>
      <c r="AO55" s="19">
        <v>45.806826364554304</v>
      </c>
      <c r="AP55" s="39">
        <v>0.64129556910376029</v>
      </c>
      <c r="AQ55" s="56"/>
      <c r="AR55" s="60"/>
      <c r="AS55" s="57"/>
      <c r="AT55" s="52"/>
      <c r="AU55" s="52"/>
      <c r="AV55" s="52"/>
    </row>
    <row r="56" spans="1:48" s="49" customFormat="1">
      <c r="A56" s="38">
        <v>3</v>
      </c>
      <c r="B56" s="38" t="s">
        <v>44</v>
      </c>
      <c r="C56" s="45" t="s">
        <v>0</v>
      </c>
      <c r="D56" s="36">
        <v>40745</v>
      </c>
      <c r="E56" s="46">
        <v>0.36458333333333331</v>
      </c>
      <c r="F56" s="38">
        <v>3</v>
      </c>
      <c r="G56" s="38">
        <v>1.2</v>
      </c>
      <c r="H56" s="38"/>
      <c r="I56" s="38"/>
      <c r="J56" s="20">
        <v>25.3</v>
      </c>
      <c r="K56" s="19">
        <v>3.5337523975241938</v>
      </c>
      <c r="L56" s="38"/>
      <c r="M56" s="38"/>
      <c r="N56" s="38">
        <v>4</v>
      </c>
      <c r="O56" s="38">
        <v>0</v>
      </c>
      <c r="P56" s="38" t="s">
        <v>53</v>
      </c>
      <c r="Q56" s="38" t="s">
        <v>67</v>
      </c>
      <c r="R56" s="20">
        <v>29.6</v>
      </c>
      <c r="S56" s="20">
        <v>0.25</v>
      </c>
      <c r="T56" s="21">
        <v>0.48086359175662552</v>
      </c>
      <c r="U56" s="19">
        <v>6.7320902845927578E-3</v>
      </c>
      <c r="V56" s="22">
        <v>6.0667981961668546E-2</v>
      </c>
      <c r="W56" s="19">
        <v>8.4935174746335969E-4</v>
      </c>
      <c r="X56" s="22">
        <v>0.54153157371829408</v>
      </c>
      <c r="Y56" s="19"/>
      <c r="Z56" s="22">
        <v>21.228228653201878</v>
      </c>
      <c r="AA56" s="22">
        <v>7.4390537924050637</v>
      </c>
      <c r="AB56" s="22">
        <v>1.827934676575951</v>
      </c>
      <c r="AC56" s="19">
        <v>9.2669884689810154</v>
      </c>
      <c r="AD56" s="19"/>
      <c r="AE56" s="55">
        <v>0.80274771219425622</v>
      </c>
      <c r="AF56" s="19">
        <v>114.6848407746851</v>
      </c>
      <c r="AG56" s="19">
        <v>18.456362951333727</v>
      </c>
      <c r="AH56" s="19">
        <v>39.684591604535605</v>
      </c>
      <c r="AI56" s="19">
        <v>0.55558428246349845</v>
      </c>
      <c r="AJ56" s="19"/>
      <c r="AK56" s="5">
        <v>0.56316572449555458</v>
      </c>
      <c r="AL56" s="19"/>
      <c r="AM56" s="19">
        <v>6.2138375300209159</v>
      </c>
      <c r="AN56" s="38"/>
      <c r="AO56" s="19">
        <v>40.2261231782539</v>
      </c>
      <c r="AP56" s="39">
        <v>0.56316572449555458</v>
      </c>
      <c r="AQ56" s="38"/>
      <c r="AR56" s="38"/>
      <c r="AS56" s="52"/>
      <c r="AT56" s="52"/>
      <c r="AU56" s="52"/>
      <c r="AV56" s="52"/>
    </row>
    <row r="57" spans="1:48" s="49" customFormat="1">
      <c r="A57" s="38">
        <v>3</v>
      </c>
      <c r="B57" s="38" t="s">
        <v>44</v>
      </c>
      <c r="C57" s="45" t="s">
        <v>0</v>
      </c>
      <c r="D57" s="36">
        <v>40759</v>
      </c>
      <c r="E57" s="46">
        <v>0.375</v>
      </c>
      <c r="F57" s="38">
        <v>2.9</v>
      </c>
      <c r="G57" s="38">
        <v>1.85</v>
      </c>
      <c r="H57" s="38"/>
      <c r="I57" s="61"/>
      <c r="J57" s="20">
        <v>25.1</v>
      </c>
      <c r="K57" s="19">
        <v>3.6723092941077655</v>
      </c>
      <c r="L57" s="38"/>
      <c r="M57" s="38"/>
      <c r="N57" s="38">
        <v>3</v>
      </c>
      <c r="O57" s="38">
        <v>1</v>
      </c>
      <c r="P57" s="38" t="s">
        <v>50</v>
      </c>
      <c r="Q57" s="38" t="s">
        <v>63</v>
      </c>
      <c r="R57" s="20">
        <v>29.4</v>
      </c>
      <c r="S57" s="20">
        <v>0.42499999999999999</v>
      </c>
      <c r="T57" s="21">
        <v>6.7730851965067203</v>
      </c>
      <c r="U57" s="19">
        <v>9.482319275109409E-2</v>
      </c>
      <c r="V57" s="22">
        <v>1.1828000000000001</v>
      </c>
      <c r="W57" s="19">
        <v>1.6559200000000003E-2</v>
      </c>
      <c r="X57" s="22">
        <v>7.9558851965067205</v>
      </c>
      <c r="Y57" s="19"/>
      <c r="Z57" s="22">
        <v>25.87011480349328</v>
      </c>
      <c r="AA57" s="22">
        <v>7.8883646379746839</v>
      </c>
      <c r="AB57" s="22">
        <v>0.10503584012025313</v>
      </c>
      <c r="AC57" s="19">
        <v>7.9934004780949373</v>
      </c>
      <c r="AD57" s="19"/>
      <c r="AE57" s="55">
        <v>0.98685968000626356</v>
      </c>
      <c r="AF57" s="19">
        <v>117.22694164428884</v>
      </c>
      <c r="AG57" s="19">
        <v>20.932031377767039</v>
      </c>
      <c r="AH57" s="19">
        <v>46.802146181260319</v>
      </c>
      <c r="AI57" s="19">
        <v>0.65523004653764449</v>
      </c>
      <c r="AJ57" s="19"/>
      <c r="AK57" s="5">
        <v>0.76661243928873857</v>
      </c>
      <c r="AL57" s="19"/>
      <c r="AM57" s="19">
        <v>5.6003614522000698</v>
      </c>
      <c r="AN57" s="38"/>
      <c r="AO57" s="19">
        <v>54.75803137776704</v>
      </c>
      <c r="AP57" s="39">
        <v>0.76661243928873857</v>
      </c>
      <c r="AQ57" s="38"/>
      <c r="AR57" s="38"/>
      <c r="AS57" s="52"/>
      <c r="AT57" s="52"/>
      <c r="AU57" s="52"/>
      <c r="AV57" s="52"/>
    </row>
    <row r="58" spans="1:48" s="49" customFormat="1">
      <c r="A58" s="38">
        <v>3</v>
      </c>
      <c r="B58" s="38" t="s">
        <v>44</v>
      </c>
      <c r="C58" s="45" t="s">
        <v>0</v>
      </c>
      <c r="D58" s="36">
        <v>40773</v>
      </c>
      <c r="E58" s="38" t="s">
        <v>47</v>
      </c>
      <c r="F58" s="38">
        <v>3</v>
      </c>
      <c r="G58" s="38">
        <v>1.1000000000000001</v>
      </c>
      <c r="H58" s="16">
        <v>1.4125000000000001</v>
      </c>
      <c r="I58" s="61"/>
      <c r="J58" s="20">
        <v>23.9</v>
      </c>
      <c r="K58" s="19">
        <v>6.2066933272466001</v>
      </c>
      <c r="L58" s="38"/>
      <c r="M58" s="16">
        <v>4.6170574035514207</v>
      </c>
      <c r="N58" s="38">
        <v>2</v>
      </c>
      <c r="O58" s="38">
        <v>2</v>
      </c>
      <c r="P58" s="38" t="s">
        <v>53</v>
      </c>
      <c r="Q58" s="38" t="s">
        <v>63</v>
      </c>
      <c r="R58" s="20">
        <v>29.5</v>
      </c>
      <c r="S58" s="20">
        <v>0.17499999999999999</v>
      </c>
      <c r="T58" s="21">
        <v>0.86467078184457313</v>
      </c>
      <c r="U58" s="19">
        <v>1.2105390945824024E-2</v>
      </c>
      <c r="V58" s="22">
        <v>1.0624</v>
      </c>
      <c r="W58" s="19">
        <v>1.4873600000000001E-2</v>
      </c>
      <c r="X58" s="22">
        <v>1.9270707818445731</v>
      </c>
      <c r="Y58" s="16">
        <v>2.8631886303518006</v>
      </c>
      <c r="Z58" s="22">
        <v>104.59542921815542</v>
      </c>
      <c r="AA58" s="22">
        <v>19.67821772151899</v>
      </c>
      <c r="AB58" s="22">
        <v>2.4429602784810105</v>
      </c>
      <c r="AC58" s="19">
        <v>22.121178</v>
      </c>
      <c r="AD58" s="16">
        <v>12.387203516479538</v>
      </c>
      <c r="AE58" s="55">
        <v>0.88956463898617832</v>
      </c>
      <c r="AF58" s="19">
        <v>156.39412541299842</v>
      </c>
      <c r="AG58" s="19">
        <v>20.406968455261996</v>
      </c>
      <c r="AH58" s="19">
        <v>125.00239767341742</v>
      </c>
      <c r="AI58" s="19">
        <v>1.750033567427844</v>
      </c>
      <c r="AJ58" s="16">
        <v>0.86428007871445356</v>
      </c>
      <c r="AK58" s="5">
        <v>1.777012558373668</v>
      </c>
      <c r="AL58" s="16">
        <v>0.9043647195393788</v>
      </c>
      <c r="AM58" s="19">
        <v>7.6637608254190122</v>
      </c>
      <c r="AN58" s="38"/>
      <c r="AO58" s="19">
        <v>126.929468455262</v>
      </c>
      <c r="AP58" s="39">
        <v>1.777012558373668</v>
      </c>
      <c r="AQ58" s="38"/>
      <c r="AR58" s="38"/>
      <c r="AS58" s="52"/>
      <c r="AT58" s="52"/>
      <c r="AU58" s="52"/>
      <c r="AV58" s="52"/>
    </row>
  </sheetData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80"/>
  <sheetViews>
    <sheetView tabSelected="1" zoomScaleNormal="100" workbookViewId="0">
      <selection activeCell="L137" sqref="L137"/>
    </sheetView>
  </sheetViews>
  <sheetFormatPr defaultRowHeight="12.75"/>
  <cols>
    <col min="3" max="3" width="20" customWidth="1"/>
    <col min="4" max="4" width="17.85546875" customWidth="1"/>
    <col min="5" max="5" width="16.42578125" customWidth="1"/>
    <col min="13" max="13" width="16.7109375" customWidth="1"/>
    <col min="14" max="14" width="16.42578125" customWidth="1"/>
  </cols>
  <sheetData>
    <row r="1" spans="1:43">
      <c r="A1" s="1"/>
      <c r="B1" s="1"/>
      <c r="C1" s="2" t="s">
        <v>0</v>
      </c>
      <c r="D1" s="3"/>
      <c r="E1" s="3"/>
      <c r="F1" s="4"/>
      <c r="G1" s="3"/>
      <c r="H1" s="4"/>
    </row>
    <row r="2" spans="1:43" s="38" customFormat="1">
      <c r="F2" s="19"/>
      <c r="G2" s="19"/>
      <c r="H2" s="19"/>
      <c r="I2" s="20"/>
      <c r="J2" s="20"/>
      <c r="K2" s="19"/>
      <c r="L2" s="20"/>
      <c r="M2" s="20"/>
      <c r="O2" s="40"/>
      <c r="R2" s="20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39"/>
      <c r="AJ2" s="19"/>
      <c r="AK2" s="5"/>
      <c r="AL2" s="39"/>
      <c r="AM2" s="19"/>
    </row>
    <row r="3" spans="1:43" s="38" customFormat="1">
      <c r="B3" s="7"/>
      <c r="C3" s="7"/>
      <c r="D3" s="8"/>
      <c r="F3" s="9" t="s">
        <v>1</v>
      </c>
      <c r="G3" s="9" t="s">
        <v>2</v>
      </c>
      <c r="H3" s="9"/>
      <c r="I3" s="10" t="s">
        <v>3</v>
      </c>
      <c r="J3" s="10"/>
      <c r="K3" s="9"/>
      <c r="L3" s="10"/>
      <c r="M3" s="10"/>
      <c r="N3" s="7"/>
      <c r="O3" s="41"/>
      <c r="P3" s="7" t="s">
        <v>4</v>
      </c>
      <c r="Q3" s="7" t="s">
        <v>5</v>
      </c>
      <c r="R3" s="35" t="s">
        <v>6</v>
      </c>
      <c r="S3" s="42"/>
      <c r="T3" s="42"/>
      <c r="U3" s="42"/>
      <c r="V3" s="42"/>
      <c r="W3" s="19"/>
      <c r="X3" s="42"/>
      <c r="Y3" s="42"/>
      <c r="Z3" s="42"/>
      <c r="AA3" s="42" t="s">
        <v>7</v>
      </c>
      <c r="AB3" s="42" t="s">
        <v>8</v>
      </c>
      <c r="AC3" s="42"/>
      <c r="AD3" s="42"/>
      <c r="AE3" s="42"/>
      <c r="AF3" s="42"/>
      <c r="AG3" s="42"/>
      <c r="AH3" s="42"/>
      <c r="AI3" s="43"/>
      <c r="AJ3" s="42"/>
      <c r="AK3" s="5"/>
      <c r="AL3" s="39"/>
      <c r="AM3" s="42"/>
      <c r="AO3" s="42" t="s">
        <v>9</v>
      </c>
      <c r="AP3" s="44" t="s">
        <v>9</v>
      </c>
    </row>
    <row r="4" spans="1:43" s="38" customFormat="1" ht="15">
      <c r="A4" s="7" t="s">
        <v>10</v>
      </c>
      <c r="B4" s="7" t="s">
        <v>11</v>
      </c>
      <c r="C4" s="7" t="s">
        <v>12</v>
      </c>
      <c r="D4" s="8"/>
      <c r="E4" s="7" t="s">
        <v>14</v>
      </c>
      <c r="F4" s="9" t="s">
        <v>15</v>
      </c>
      <c r="G4" s="9" t="s">
        <v>16</v>
      </c>
      <c r="H4" s="9" t="s">
        <v>17</v>
      </c>
      <c r="I4" s="10" t="s">
        <v>15</v>
      </c>
      <c r="J4" s="10" t="s">
        <v>18</v>
      </c>
      <c r="K4" s="9" t="s">
        <v>19</v>
      </c>
      <c r="L4" s="10" t="s">
        <v>20</v>
      </c>
      <c r="M4" s="10" t="s">
        <v>71</v>
      </c>
      <c r="N4" s="7" t="s">
        <v>21</v>
      </c>
      <c r="O4" s="11" t="s">
        <v>22</v>
      </c>
      <c r="P4" s="12" t="s">
        <v>23</v>
      </c>
      <c r="Q4" s="12" t="s">
        <v>24</v>
      </c>
      <c r="R4" s="10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17</v>
      </c>
      <c r="Z4" s="9" t="s">
        <v>32</v>
      </c>
      <c r="AA4" s="9" t="s">
        <v>33</v>
      </c>
      <c r="AB4" s="9" t="s">
        <v>33</v>
      </c>
      <c r="AC4" s="9" t="s">
        <v>34</v>
      </c>
      <c r="AD4" s="9" t="s">
        <v>17</v>
      </c>
      <c r="AE4" s="9" t="s">
        <v>35</v>
      </c>
      <c r="AF4" s="9" t="s">
        <v>36</v>
      </c>
      <c r="AG4" s="9" t="s">
        <v>37</v>
      </c>
      <c r="AH4" s="9" t="s">
        <v>38</v>
      </c>
      <c r="AI4" s="13" t="s">
        <v>39</v>
      </c>
      <c r="AJ4" s="9" t="s">
        <v>17</v>
      </c>
      <c r="AK4" s="13" t="s">
        <v>72</v>
      </c>
      <c r="AL4" s="13" t="s">
        <v>40</v>
      </c>
      <c r="AM4" s="9" t="s">
        <v>41</v>
      </c>
      <c r="AO4" s="42" t="s">
        <v>42</v>
      </c>
      <c r="AP4" s="44" t="s">
        <v>70</v>
      </c>
    </row>
    <row r="5" spans="1:43" s="38" customFormat="1">
      <c r="A5" s="38">
        <v>3</v>
      </c>
      <c r="B5" s="14" t="s">
        <v>43</v>
      </c>
      <c r="C5" s="38" t="s">
        <v>0</v>
      </c>
      <c r="D5" s="15">
        <v>37097</v>
      </c>
      <c r="E5" s="7"/>
      <c r="F5" s="19"/>
      <c r="G5" s="16"/>
      <c r="H5" s="16"/>
      <c r="I5" s="17"/>
      <c r="J5" s="17"/>
      <c r="K5" s="16">
        <v>5.8</v>
      </c>
      <c r="L5" s="17">
        <v>80.8</v>
      </c>
      <c r="M5" s="17"/>
      <c r="N5" s="7"/>
      <c r="O5" s="11"/>
      <c r="P5" s="12"/>
      <c r="Q5" s="12"/>
      <c r="R5" s="10"/>
      <c r="S5" s="9"/>
      <c r="T5" s="9"/>
      <c r="U5" s="16">
        <f t="shared" ref="U5:U68" si="0">T5*0.014</f>
        <v>0</v>
      </c>
      <c r="V5" s="9"/>
      <c r="W5" s="16">
        <f t="shared" ref="W5:W68" si="1">V5*0.014</f>
        <v>0</v>
      </c>
      <c r="X5" s="16">
        <v>5.9</v>
      </c>
      <c r="Y5" s="16"/>
      <c r="Z5" s="16">
        <v>137.4</v>
      </c>
      <c r="AA5" s="16">
        <v>8.81</v>
      </c>
      <c r="AB5" s="16">
        <v>2.3199999999999998</v>
      </c>
      <c r="AC5" s="16">
        <v>11.13</v>
      </c>
      <c r="AD5" s="16"/>
      <c r="AE5" s="16"/>
      <c r="AF5" s="16"/>
      <c r="AG5" s="16">
        <v>14.25</v>
      </c>
      <c r="AH5" s="16">
        <v>151.65</v>
      </c>
      <c r="AI5" s="39">
        <v>2.1231</v>
      </c>
      <c r="AJ5" s="16"/>
      <c r="AK5" s="5">
        <f t="shared" ref="AK5:AK94" si="2">SUM(X5+Z5+AG5)*0.014</f>
        <v>2.2057000000000002</v>
      </c>
      <c r="AL5" s="5"/>
      <c r="AM5" s="16"/>
      <c r="AO5" s="19">
        <f t="shared" ref="AO5:AO68" si="3">X5+AH5</f>
        <v>157.55000000000001</v>
      </c>
      <c r="AP5" s="39">
        <f t="shared" ref="AP5:AP68" si="4">AO5*0.014</f>
        <v>2.2057000000000002</v>
      </c>
    </row>
    <row r="6" spans="1:43" s="38" customFormat="1">
      <c r="A6" s="38">
        <v>3</v>
      </c>
      <c r="B6" s="14" t="s">
        <v>44</v>
      </c>
      <c r="C6" s="38" t="s">
        <v>0</v>
      </c>
      <c r="D6" s="15">
        <v>37097</v>
      </c>
      <c r="E6" s="7"/>
      <c r="F6" s="19"/>
      <c r="G6" s="16"/>
      <c r="H6" s="16"/>
      <c r="I6" s="17"/>
      <c r="J6" s="17"/>
      <c r="K6" s="16">
        <v>4.3</v>
      </c>
      <c r="L6" s="17">
        <v>55.2</v>
      </c>
      <c r="M6" s="17"/>
      <c r="N6" s="7"/>
      <c r="O6" s="11"/>
      <c r="P6" s="12"/>
      <c r="Q6" s="12"/>
      <c r="R6" s="10"/>
      <c r="S6" s="9"/>
      <c r="T6" s="9"/>
      <c r="U6" s="16">
        <f t="shared" si="0"/>
        <v>0</v>
      </c>
      <c r="V6" s="9"/>
      <c r="W6" s="16">
        <f t="shared" si="1"/>
        <v>0</v>
      </c>
      <c r="X6" s="16">
        <v>4.0999999999999996</v>
      </c>
      <c r="Y6" s="16"/>
      <c r="Z6" s="16">
        <v>32.5</v>
      </c>
      <c r="AA6" s="16">
        <v>7.81</v>
      </c>
      <c r="AB6" s="16">
        <v>4.96</v>
      </c>
      <c r="AC6" s="16">
        <v>12.77</v>
      </c>
      <c r="AD6" s="16"/>
      <c r="AE6" s="16"/>
      <c r="AF6" s="16"/>
      <c r="AG6" s="16">
        <v>12.74</v>
      </c>
      <c r="AH6" s="16">
        <v>45.24</v>
      </c>
      <c r="AI6" s="39">
        <v>0.63336000000000003</v>
      </c>
      <c r="AJ6" s="16"/>
      <c r="AK6" s="5">
        <f t="shared" si="2"/>
        <v>0.69076000000000004</v>
      </c>
      <c r="AL6" s="5"/>
      <c r="AM6" s="16"/>
      <c r="AO6" s="19">
        <f t="shared" si="3"/>
        <v>49.34</v>
      </c>
      <c r="AP6" s="39">
        <f t="shared" si="4"/>
        <v>0.69076000000000004</v>
      </c>
    </row>
    <row r="7" spans="1:43" s="38" customFormat="1">
      <c r="A7" s="38" t="s">
        <v>45</v>
      </c>
      <c r="B7" s="14" t="s">
        <v>46</v>
      </c>
      <c r="C7" s="38" t="s">
        <v>0</v>
      </c>
      <c r="D7" s="15">
        <v>37097</v>
      </c>
      <c r="E7" s="7"/>
      <c r="F7" s="19"/>
      <c r="G7" s="16">
        <v>1.18</v>
      </c>
      <c r="H7" s="16"/>
      <c r="I7" s="17">
        <v>3.3</v>
      </c>
      <c r="J7" s="17"/>
      <c r="K7" s="16"/>
      <c r="L7" s="17"/>
      <c r="M7" s="17"/>
      <c r="N7" s="7"/>
      <c r="O7" s="11"/>
      <c r="P7" s="12"/>
      <c r="Q7" s="12"/>
      <c r="R7" s="10"/>
      <c r="S7" s="9"/>
      <c r="T7" s="9"/>
      <c r="U7" s="16">
        <f t="shared" si="0"/>
        <v>0</v>
      </c>
      <c r="V7" s="9"/>
      <c r="W7" s="16">
        <f t="shared" si="1"/>
        <v>0</v>
      </c>
      <c r="X7" s="16">
        <v>5</v>
      </c>
      <c r="Y7" s="16"/>
      <c r="Z7" s="16">
        <v>84.5</v>
      </c>
      <c r="AA7" s="16">
        <v>8.31</v>
      </c>
      <c r="AB7" s="16">
        <v>3.64</v>
      </c>
      <c r="AC7" s="16">
        <v>11.95</v>
      </c>
      <c r="AD7" s="16"/>
      <c r="AE7" s="16"/>
      <c r="AF7" s="16"/>
      <c r="AG7" s="16">
        <v>13.494999999999999</v>
      </c>
      <c r="AH7" s="16">
        <v>98.444999999999993</v>
      </c>
      <c r="AI7" s="39">
        <v>1.3782299999999998</v>
      </c>
      <c r="AJ7" s="16"/>
      <c r="AK7" s="5">
        <f t="shared" si="2"/>
        <v>1.4419300000000002</v>
      </c>
      <c r="AL7" s="5"/>
      <c r="AM7" s="16"/>
      <c r="AO7" s="19">
        <f t="shared" si="3"/>
        <v>103.44499999999999</v>
      </c>
      <c r="AP7" s="39">
        <f t="shared" si="4"/>
        <v>1.4482299999999999</v>
      </c>
    </row>
    <row r="8" spans="1:43" s="38" customFormat="1">
      <c r="A8" s="38">
        <v>3</v>
      </c>
      <c r="B8" s="14" t="s">
        <v>43</v>
      </c>
      <c r="C8" s="38" t="s">
        <v>0</v>
      </c>
      <c r="D8" s="15">
        <v>37112</v>
      </c>
      <c r="E8" s="7"/>
      <c r="F8" s="19"/>
      <c r="G8" s="16"/>
      <c r="H8" s="16"/>
      <c r="I8" s="17"/>
      <c r="J8" s="17"/>
      <c r="K8" s="16">
        <v>7</v>
      </c>
      <c r="L8" s="17">
        <v>97</v>
      </c>
      <c r="M8" s="17"/>
      <c r="N8" s="7"/>
      <c r="O8" s="11"/>
      <c r="P8" s="12"/>
      <c r="Q8" s="12"/>
      <c r="R8" s="10"/>
      <c r="S8" s="9"/>
      <c r="T8" s="9"/>
      <c r="U8" s="16">
        <f t="shared" si="0"/>
        <v>0</v>
      </c>
      <c r="V8" s="9"/>
      <c r="W8" s="16">
        <f t="shared" si="1"/>
        <v>0</v>
      </c>
      <c r="X8" s="16">
        <v>1.2</v>
      </c>
      <c r="Y8" s="16"/>
      <c r="Z8" s="16">
        <v>28.6</v>
      </c>
      <c r="AA8" s="16">
        <v>8.68</v>
      </c>
      <c r="AB8" s="16">
        <v>1.18</v>
      </c>
      <c r="AC8" s="16">
        <v>9.86</v>
      </c>
      <c r="AD8" s="16"/>
      <c r="AE8" s="16"/>
      <c r="AF8" s="16"/>
      <c r="AG8" s="16">
        <v>8.4499999999999993</v>
      </c>
      <c r="AH8" s="16">
        <v>37.049999999999997</v>
      </c>
      <c r="AI8" s="39">
        <v>0.51869999999999994</v>
      </c>
      <c r="AJ8" s="16"/>
      <c r="AK8" s="5">
        <f t="shared" si="2"/>
        <v>0.53549999999999998</v>
      </c>
      <c r="AL8" s="5"/>
      <c r="AM8" s="16"/>
      <c r="AN8" s="14"/>
      <c r="AO8" s="19">
        <f t="shared" si="3"/>
        <v>38.25</v>
      </c>
      <c r="AP8" s="39">
        <f t="shared" si="4"/>
        <v>0.53549999999999998</v>
      </c>
      <c r="AQ8" s="14"/>
    </row>
    <row r="9" spans="1:43" s="38" customFormat="1">
      <c r="A9" s="38">
        <v>3</v>
      </c>
      <c r="B9" s="14" t="s">
        <v>44</v>
      </c>
      <c r="C9" s="38" t="s">
        <v>0</v>
      </c>
      <c r="D9" s="15">
        <v>37112</v>
      </c>
      <c r="E9" s="7"/>
      <c r="F9" s="19"/>
      <c r="G9" s="16"/>
      <c r="H9" s="16"/>
      <c r="I9" s="17"/>
      <c r="J9" s="17"/>
      <c r="K9" s="16">
        <v>4.0999999999999996</v>
      </c>
      <c r="L9" s="17">
        <v>58</v>
      </c>
      <c r="M9" s="17"/>
      <c r="N9" s="7"/>
      <c r="O9" s="11"/>
      <c r="P9" s="12"/>
      <c r="Q9" s="12"/>
      <c r="R9" s="10"/>
      <c r="S9" s="9"/>
      <c r="T9" s="9"/>
      <c r="U9" s="16">
        <f t="shared" si="0"/>
        <v>0</v>
      </c>
      <c r="V9" s="9"/>
      <c r="W9" s="16">
        <f t="shared" si="1"/>
        <v>0</v>
      </c>
      <c r="X9" s="16">
        <v>1.8</v>
      </c>
      <c r="Y9" s="16"/>
      <c r="Z9" s="16">
        <v>32.6</v>
      </c>
      <c r="AA9" s="16">
        <v>12.38</v>
      </c>
      <c r="AB9" s="16">
        <v>1.85</v>
      </c>
      <c r="AC9" s="16">
        <v>14.23</v>
      </c>
      <c r="AD9" s="16"/>
      <c r="AE9" s="16"/>
      <c r="AF9" s="16"/>
      <c r="AG9" s="16">
        <v>8.7899999999999991</v>
      </c>
      <c r="AH9" s="16">
        <v>41.39</v>
      </c>
      <c r="AI9" s="39">
        <v>0.57945999999999998</v>
      </c>
      <c r="AJ9" s="16"/>
      <c r="AK9" s="5">
        <f t="shared" si="2"/>
        <v>0.60465999999999998</v>
      </c>
      <c r="AL9" s="5"/>
      <c r="AM9" s="16"/>
      <c r="AN9" s="14"/>
      <c r="AO9" s="19">
        <f t="shared" si="3"/>
        <v>43.19</v>
      </c>
      <c r="AP9" s="39">
        <f t="shared" si="4"/>
        <v>0.60465999999999998</v>
      </c>
      <c r="AQ9" s="14"/>
    </row>
    <row r="10" spans="1:43" s="38" customFormat="1">
      <c r="A10" s="38" t="s">
        <v>45</v>
      </c>
      <c r="B10" s="14" t="s">
        <v>46</v>
      </c>
      <c r="C10" s="38" t="s">
        <v>0</v>
      </c>
      <c r="D10" s="15">
        <v>37112</v>
      </c>
      <c r="E10" s="7"/>
      <c r="F10" s="19"/>
      <c r="G10" s="16">
        <v>1.03</v>
      </c>
      <c r="H10" s="16"/>
      <c r="I10" s="17">
        <v>3.3</v>
      </c>
      <c r="J10" s="17"/>
      <c r="K10" s="16"/>
      <c r="L10" s="17"/>
      <c r="M10" s="17"/>
      <c r="N10" s="7"/>
      <c r="O10" s="11"/>
      <c r="P10" s="12"/>
      <c r="Q10" s="12"/>
      <c r="R10" s="10"/>
      <c r="S10" s="9"/>
      <c r="T10" s="9"/>
      <c r="U10" s="16">
        <f t="shared" si="0"/>
        <v>0</v>
      </c>
      <c r="V10" s="9"/>
      <c r="W10" s="16">
        <f t="shared" si="1"/>
        <v>0</v>
      </c>
      <c r="X10" s="16">
        <v>1.5</v>
      </c>
      <c r="Y10" s="16"/>
      <c r="Z10" s="16">
        <v>30.6</v>
      </c>
      <c r="AA10" s="16">
        <v>10.53</v>
      </c>
      <c r="AB10" s="16">
        <v>1.5149999999999999</v>
      </c>
      <c r="AC10" s="16">
        <v>12.045</v>
      </c>
      <c r="AD10" s="16"/>
      <c r="AE10" s="16"/>
      <c r="AF10" s="16"/>
      <c r="AG10" s="16">
        <v>8.6199999999999992</v>
      </c>
      <c r="AH10" s="16">
        <v>39.22</v>
      </c>
      <c r="AI10" s="39">
        <v>0.54908000000000001</v>
      </c>
      <c r="AJ10" s="16"/>
      <c r="AK10" s="5">
        <f t="shared" si="2"/>
        <v>0.57008000000000003</v>
      </c>
      <c r="AL10" s="5"/>
      <c r="AM10" s="16"/>
      <c r="AN10" s="14"/>
      <c r="AO10" s="19">
        <f t="shared" si="3"/>
        <v>40.72</v>
      </c>
      <c r="AP10" s="39">
        <f t="shared" si="4"/>
        <v>0.57008000000000003</v>
      </c>
      <c r="AQ10" s="14"/>
    </row>
    <row r="11" spans="1:43" s="38" customFormat="1">
      <c r="A11" s="38">
        <v>3</v>
      </c>
      <c r="B11" s="14" t="s">
        <v>43</v>
      </c>
      <c r="C11" s="38" t="s">
        <v>0</v>
      </c>
      <c r="D11" s="15">
        <v>37126</v>
      </c>
      <c r="E11" s="7"/>
      <c r="F11" s="16"/>
      <c r="G11" s="16"/>
      <c r="H11" s="16"/>
      <c r="I11" s="17"/>
      <c r="J11" s="17"/>
      <c r="K11" s="16">
        <v>6.6</v>
      </c>
      <c r="L11" s="17">
        <v>87.5</v>
      </c>
      <c r="M11" s="17"/>
      <c r="N11" s="7"/>
      <c r="O11" s="11"/>
      <c r="P11" s="12"/>
      <c r="Q11" s="12"/>
      <c r="R11" s="10"/>
      <c r="S11" s="9"/>
      <c r="T11" s="9"/>
      <c r="U11" s="16">
        <f t="shared" si="0"/>
        <v>0</v>
      </c>
      <c r="V11" s="9"/>
      <c r="W11" s="16">
        <f t="shared" si="1"/>
        <v>0</v>
      </c>
      <c r="X11" s="16">
        <v>3.6</v>
      </c>
      <c r="Y11" s="16"/>
      <c r="Z11" s="16">
        <v>33.200000000000003</v>
      </c>
      <c r="AA11" s="16">
        <v>8.01</v>
      </c>
      <c r="AB11" s="16">
        <v>3.19</v>
      </c>
      <c r="AC11" s="16">
        <v>11.2</v>
      </c>
      <c r="AD11" s="16"/>
      <c r="AE11" s="16"/>
      <c r="AF11" s="19"/>
      <c r="AG11" s="16">
        <v>14.23</v>
      </c>
      <c r="AH11" s="16">
        <v>47.43</v>
      </c>
      <c r="AI11" s="39">
        <v>0.66402000000000005</v>
      </c>
      <c r="AJ11" s="16"/>
      <c r="AK11" s="5">
        <f t="shared" si="2"/>
        <v>0.71442000000000005</v>
      </c>
      <c r="AL11" s="5"/>
      <c r="AM11" s="16"/>
      <c r="AO11" s="19">
        <f t="shared" si="3"/>
        <v>51.03</v>
      </c>
      <c r="AP11" s="39">
        <f t="shared" si="4"/>
        <v>0.71442000000000005</v>
      </c>
    </row>
    <row r="12" spans="1:43" s="38" customFormat="1">
      <c r="A12" s="38">
        <v>3</v>
      </c>
      <c r="B12" s="14" t="s">
        <v>44</v>
      </c>
      <c r="C12" s="38" t="s">
        <v>0</v>
      </c>
      <c r="D12" s="15">
        <v>37126</v>
      </c>
      <c r="E12" s="7"/>
      <c r="F12" s="16"/>
      <c r="G12" s="16"/>
      <c r="H12" s="16"/>
      <c r="I12" s="17"/>
      <c r="J12" s="17"/>
      <c r="K12" s="16">
        <v>3.9</v>
      </c>
      <c r="L12" s="17">
        <v>60.2</v>
      </c>
      <c r="M12" s="17"/>
      <c r="N12" s="7"/>
      <c r="O12" s="11"/>
      <c r="P12" s="12"/>
      <c r="Q12" s="12"/>
      <c r="R12" s="10"/>
      <c r="S12" s="9"/>
      <c r="T12" s="9"/>
      <c r="U12" s="16">
        <f t="shared" si="0"/>
        <v>0</v>
      </c>
      <c r="V12" s="9"/>
      <c r="W12" s="16">
        <f t="shared" si="1"/>
        <v>0</v>
      </c>
      <c r="X12" s="16">
        <v>4.9000000000000004</v>
      </c>
      <c r="Y12" s="16"/>
      <c r="Z12" s="16">
        <v>28.9</v>
      </c>
      <c r="AA12" s="16">
        <v>7.92</v>
      </c>
      <c r="AB12" s="16">
        <v>3.2</v>
      </c>
      <c r="AC12" s="16">
        <v>11.12</v>
      </c>
      <c r="AD12" s="16"/>
      <c r="AE12" s="16"/>
      <c r="AF12" s="19"/>
      <c r="AG12" s="16">
        <v>16.87</v>
      </c>
      <c r="AH12" s="16">
        <v>45.77</v>
      </c>
      <c r="AI12" s="39">
        <v>0.64078000000000002</v>
      </c>
      <c r="AJ12" s="16"/>
      <c r="AK12" s="5">
        <f t="shared" si="2"/>
        <v>0.70938000000000001</v>
      </c>
      <c r="AL12" s="5"/>
      <c r="AM12" s="16"/>
      <c r="AO12" s="19">
        <f t="shared" si="3"/>
        <v>50.67</v>
      </c>
      <c r="AP12" s="39">
        <f t="shared" si="4"/>
        <v>0.70938000000000001</v>
      </c>
    </row>
    <row r="13" spans="1:43" s="38" customFormat="1">
      <c r="A13" s="38" t="s">
        <v>45</v>
      </c>
      <c r="B13" s="14" t="s">
        <v>46</v>
      </c>
      <c r="C13" s="38" t="s">
        <v>0</v>
      </c>
      <c r="D13" s="15">
        <v>37126</v>
      </c>
      <c r="E13" s="7"/>
      <c r="F13" s="16">
        <v>3.3</v>
      </c>
      <c r="G13" s="16">
        <v>1.33</v>
      </c>
      <c r="H13" s="16"/>
      <c r="I13" s="17"/>
      <c r="J13" s="17"/>
      <c r="K13" s="16"/>
      <c r="L13" s="17"/>
      <c r="M13" s="17"/>
      <c r="N13" s="7"/>
      <c r="O13" s="11"/>
      <c r="P13" s="12"/>
      <c r="Q13" s="12"/>
      <c r="R13" s="10"/>
      <c r="S13" s="9"/>
      <c r="T13" s="9"/>
      <c r="U13" s="16">
        <f t="shared" si="0"/>
        <v>0</v>
      </c>
      <c r="V13" s="9"/>
      <c r="W13" s="16">
        <f t="shared" si="1"/>
        <v>0</v>
      </c>
      <c r="X13" s="16">
        <v>4.25</v>
      </c>
      <c r="Y13" s="16"/>
      <c r="Z13" s="16">
        <v>31.05</v>
      </c>
      <c r="AA13" s="16">
        <v>7.9649999999999999</v>
      </c>
      <c r="AB13" s="16">
        <v>3.1949999999999998</v>
      </c>
      <c r="AC13" s="16">
        <v>11.16</v>
      </c>
      <c r="AD13" s="16"/>
      <c r="AE13" s="16"/>
      <c r="AF13" s="19"/>
      <c r="AG13" s="16">
        <v>15.55</v>
      </c>
      <c r="AH13" s="16">
        <v>46.6</v>
      </c>
      <c r="AI13" s="39">
        <v>0.65239999999999998</v>
      </c>
      <c r="AJ13" s="16"/>
      <c r="AK13" s="5">
        <f t="shared" si="2"/>
        <v>0.71189999999999998</v>
      </c>
      <c r="AL13" s="5"/>
      <c r="AM13" s="16"/>
      <c r="AO13" s="19">
        <f t="shared" si="3"/>
        <v>50.85</v>
      </c>
      <c r="AP13" s="39">
        <f t="shared" si="4"/>
        <v>0.71190000000000009</v>
      </c>
    </row>
    <row r="14" spans="1:43" s="38" customFormat="1">
      <c r="A14" s="38">
        <v>3</v>
      </c>
      <c r="B14" s="14" t="s">
        <v>43</v>
      </c>
      <c r="C14" s="38" t="s">
        <v>0</v>
      </c>
      <c r="D14" s="15">
        <v>37140</v>
      </c>
      <c r="E14" s="7"/>
      <c r="F14" s="16"/>
      <c r="G14" s="16"/>
      <c r="H14" s="16"/>
      <c r="I14" s="17"/>
      <c r="J14" s="17"/>
      <c r="K14" s="16">
        <v>6.2</v>
      </c>
      <c r="L14" s="17">
        <v>118.6</v>
      </c>
      <c r="M14" s="17"/>
      <c r="N14" s="7"/>
      <c r="O14" s="11"/>
      <c r="P14" s="12"/>
      <c r="Q14" s="12"/>
      <c r="R14" s="10"/>
      <c r="S14" s="9"/>
      <c r="T14" s="9"/>
      <c r="U14" s="16">
        <f t="shared" si="0"/>
        <v>0</v>
      </c>
      <c r="V14" s="9"/>
      <c r="W14" s="16">
        <f t="shared" si="1"/>
        <v>0</v>
      </c>
      <c r="X14" s="16">
        <v>4.7</v>
      </c>
      <c r="Y14" s="16"/>
      <c r="Z14" s="16">
        <v>31.4</v>
      </c>
      <c r="AA14" s="16">
        <v>8.01</v>
      </c>
      <c r="AB14" s="16">
        <v>3.19</v>
      </c>
      <c r="AC14" s="16">
        <v>11.2</v>
      </c>
      <c r="AD14" s="16"/>
      <c r="AE14" s="16"/>
      <c r="AF14" s="16"/>
      <c r="AG14" s="16">
        <v>14.14</v>
      </c>
      <c r="AH14" s="16">
        <v>45.54</v>
      </c>
      <c r="AI14" s="39">
        <v>0.63756000000000002</v>
      </c>
      <c r="AJ14" s="16"/>
      <c r="AK14" s="5">
        <f t="shared" si="2"/>
        <v>0.7033600000000001</v>
      </c>
      <c r="AL14" s="5"/>
      <c r="AM14" s="9"/>
      <c r="AO14" s="19">
        <f t="shared" si="3"/>
        <v>50.24</v>
      </c>
      <c r="AP14" s="39">
        <f t="shared" si="4"/>
        <v>0.7033600000000001</v>
      </c>
    </row>
    <row r="15" spans="1:43" s="38" customFormat="1">
      <c r="A15" s="38">
        <v>3</v>
      </c>
      <c r="B15" s="14" t="s">
        <v>44</v>
      </c>
      <c r="C15" s="38" t="s">
        <v>0</v>
      </c>
      <c r="D15" s="15">
        <v>37140</v>
      </c>
      <c r="E15" s="7"/>
      <c r="F15" s="16"/>
      <c r="G15" s="16"/>
      <c r="H15" s="16"/>
      <c r="I15" s="17"/>
      <c r="J15" s="17"/>
      <c r="K15" s="16">
        <v>6.5</v>
      </c>
      <c r="L15" s="17">
        <v>86.8</v>
      </c>
      <c r="M15" s="17"/>
      <c r="N15" s="7"/>
      <c r="O15" s="11"/>
      <c r="P15" s="12"/>
      <c r="Q15" s="12"/>
      <c r="R15" s="10"/>
      <c r="S15" s="9"/>
      <c r="T15" s="9"/>
      <c r="U15" s="16">
        <f t="shared" si="0"/>
        <v>0</v>
      </c>
      <c r="V15" s="9"/>
      <c r="W15" s="16">
        <f t="shared" si="1"/>
        <v>0</v>
      </c>
      <c r="X15" s="16">
        <v>4.9000000000000004</v>
      </c>
      <c r="Y15" s="16"/>
      <c r="Z15" s="16">
        <v>28.4</v>
      </c>
      <c r="AA15" s="16">
        <v>7.92</v>
      </c>
      <c r="AB15" s="16">
        <v>3.2</v>
      </c>
      <c r="AC15" s="16">
        <v>11.12</v>
      </c>
      <c r="AD15" s="16"/>
      <c r="AE15" s="16"/>
      <c r="AF15" s="16"/>
      <c r="AG15" s="16">
        <v>12.84</v>
      </c>
      <c r="AH15" s="16">
        <v>41.24</v>
      </c>
      <c r="AI15" s="39">
        <v>0.5773600000000001</v>
      </c>
      <c r="AJ15" s="16"/>
      <c r="AK15" s="5">
        <f t="shared" si="2"/>
        <v>0.64595999999999998</v>
      </c>
      <c r="AL15" s="5"/>
      <c r="AM15" s="9"/>
      <c r="AO15" s="19">
        <f t="shared" si="3"/>
        <v>46.14</v>
      </c>
      <c r="AP15" s="39">
        <f t="shared" si="4"/>
        <v>0.64595999999999998</v>
      </c>
    </row>
    <row r="16" spans="1:43" s="38" customFormat="1">
      <c r="A16" s="38" t="s">
        <v>45</v>
      </c>
      <c r="B16" s="14" t="s">
        <v>46</v>
      </c>
      <c r="C16" s="38" t="s">
        <v>0</v>
      </c>
      <c r="D16" s="15">
        <v>37140</v>
      </c>
      <c r="E16" s="7"/>
      <c r="F16" s="16">
        <v>2.8</v>
      </c>
      <c r="G16" s="16">
        <v>1.3</v>
      </c>
      <c r="H16" s="16">
        <f>SUM(G5:G16)/4</f>
        <v>1.21</v>
      </c>
      <c r="I16" s="17"/>
      <c r="J16" s="17"/>
      <c r="K16" s="16"/>
      <c r="L16" s="17"/>
      <c r="M16" s="17">
        <f>SUM(K5:K16)/8</f>
        <v>5.5500000000000007</v>
      </c>
      <c r="N16" s="7"/>
      <c r="O16" s="11"/>
      <c r="P16" s="12"/>
      <c r="Q16" s="12"/>
      <c r="R16" s="10"/>
      <c r="S16" s="9"/>
      <c r="T16" s="9"/>
      <c r="U16" s="16">
        <f t="shared" si="0"/>
        <v>0</v>
      </c>
      <c r="V16" s="9"/>
      <c r="W16" s="16">
        <f t="shared" si="1"/>
        <v>0</v>
      </c>
      <c r="X16" s="16">
        <v>4.8</v>
      </c>
      <c r="Y16" s="16">
        <f>SUM(X5:X16)/12</f>
        <v>3.8874999999999997</v>
      </c>
      <c r="Z16" s="16">
        <v>29.9</v>
      </c>
      <c r="AA16" s="16">
        <v>7.9649999999999999</v>
      </c>
      <c r="AB16" s="16">
        <v>2.1949999999999998</v>
      </c>
      <c r="AC16" s="16">
        <v>10.16</v>
      </c>
      <c r="AD16" s="16">
        <f>SUM(AC5:AC16)/12</f>
        <v>11.495416666666669</v>
      </c>
      <c r="AE16" s="16"/>
      <c r="AF16" s="16"/>
      <c r="AG16" s="16">
        <v>13.49</v>
      </c>
      <c r="AH16" s="16">
        <v>43.39</v>
      </c>
      <c r="AI16" s="39">
        <v>0.60746</v>
      </c>
      <c r="AJ16" s="16">
        <f>SUM(AI5:AI16)/12</f>
        <v>0.79679250000000001</v>
      </c>
      <c r="AK16" s="5">
        <f t="shared" si="2"/>
        <v>0.67466000000000004</v>
      </c>
      <c r="AL16" s="5">
        <f>SUM(AK5:AK16)/12</f>
        <v>0.85069249999999996</v>
      </c>
      <c r="AM16" s="9"/>
      <c r="AO16" s="19">
        <f t="shared" si="3"/>
        <v>48.19</v>
      </c>
      <c r="AP16" s="39">
        <f t="shared" si="4"/>
        <v>0.67466000000000004</v>
      </c>
    </row>
    <row r="17" spans="1:42" s="38" customFormat="1">
      <c r="A17" s="38">
        <v>3</v>
      </c>
      <c r="B17" s="38" t="s">
        <v>43</v>
      </c>
      <c r="C17" s="38" t="s">
        <v>0</v>
      </c>
      <c r="D17" s="36">
        <v>37419</v>
      </c>
      <c r="E17" s="46">
        <v>0.32500000000000001</v>
      </c>
      <c r="F17" s="19">
        <v>2.41</v>
      </c>
      <c r="G17" s="19">
        <v>1.35</v>
      </c>
      <c r="H17" s="19"/>
      <c r="I17" s="20">
        <v>0.5</v>
      </c>
      <c r="J17" s="20">
        <v>18.5</v>
      </c>
      <c r="K17" s="19">
        <v>6.6</v>
      </c>
      <c r="L17" s="20">
        <v>86</v>
      </c>
      <c r="M17" s="20"/>
      <c r="N17" s="38" t="s">
        <v>48</v>
      </c>
      <c r="O17" s="40">
        <v>0</v>
      </c>
      <c r="Q17" s="38" t="s">
        <v>49</v>
      </c>
      <c r="R17" s="20">
        <v>30.2</v>
      </c>
      <c r="S17" s="19">
        <v>0.19634800000000002</v>
      </c>
      <c r="T17" s="19">
        <v>13.652192000000001</v>
      </c>
      <c r="U17" s="16">
        <f t="shared" si="0"/>
        <v>0.19113068800000002</v>
      </c>
      <c r="V17" s="19">
        <v>0.24307479507524968</v>
      </c>
      <c r="W17" s="16">
        <f t="shared" si="1"/>
        <v>3.4030471310534955E-3</v>
      </c>
      <c r="X17" s="19">
        <v>13.895266795075251</v>
      </c>
      <c r="Y17" s="19"/>
      <c r="Z17" s="19">
        <v>6.1132950340036594</v>
      </c>
      <c r="AA17" s="19">
        <v>13.094978571428575</v>
      </c>
      <c r="AB17" s="19">
        <v>2.9789464285714273</v>
      </c>
      <c r="AC17" s="16">
        <v>16.073925000000003</v>
      </c>
      <c r="AD17" s="19"/>
      <c r="AE17" s="19">
        <v>0.81467212093054886</v>
      </c>
      <c r="AF17" s="19">
        <v>104.58422778855835</v>
      </c>
      <c r="AG17" s="19">
        <v>18.005955420786957</v>
      </c>
      <c r="AH17" s="19">
        <v>24.119250454790617</v>
      </c>
      <c r="AI17" s="39">
        <v>0.33766950636706866</v>
      </c>
      <c r="AJ17" s="19"/>
      <c r="AK17" s="5">
        <f t="shared" si="2"/>
        <v>0.53220324149812215</v>
      </c>
      <c r="AL17" s="39"/>
      <c r="AM17" s="19">
        <v>5.8057708938306805</v>
      </c>
      <c r="AO17" s="19">
        <f t="shared" si="3"/>
        <v>38.014517249865868</v>
      </c>
      <c r="AP17" s="39">
        <f t="shared" si="4"/>
        <v>0.53220324149812215</v>
      </c>
    </row>
    <row r="18" spans="1:42" s="38" customFormat="1">
      <c r="A18" s="38">
        <v>3</v>
      </c>
      <c r="B18" s="38" t="s">
        <v>44</v>
      </c>
      <c r="C18" s="38" t="s">
        <v>0</v>
      </c>
      <c r="D18" s="36">
        <v>37419</v>
      </c>
      <c r="E18" s="46">
        <v>0.3263888888888889</v>
      </c>
      <c r="F18" s="19">
        <v>2.41</v>
      </c>
      <c r="G18" s="19"/>
      <c r="H18" s="19"/>
      <c r="I18" s="20">
        <v>3.9</v>
      </c>
      <c r="J18" s="20">
        <v>18.5</v>
      </c>
      <c r="K18" s="19">
        <v>4.5599999999999996</v>
      </c>
      <c r="L18" s="20">
        <v>58.4</v>
      </c>
      <c r="M18" s="20"/>
      <c r="O18" s="40"/>
      <c r="R18" s="20">
        <v>30.3</v>
      </c>
      <c r="S18" s="19">
        <v>0.64127200000000006</v>
      </c>
      <c r="T18" s="19">
        <v>13.711694499999998</v>
      </c>
      <c r="U18" s="16">
        <f t="shared" si="0"/>
        <v>0.19196372299999998</v>
      </c>
      <c r="V18" s="19">
        <v>0.43345056740566834</v>
      </c>
      <c r="W18" s="16">
        <f t="shared" si="1"/>
        <v>6.0683079436793571E-3</v>
      </c>
      <c r="X18" s="19">
        <v>14.145145067405666</v>
      </c>
      <c r="Y18" s="19"/>
      <c r="Z18" s="19">
        <v>17.058006038700562</v>
      </c>
      <c r="AA18" s="19">
        <v>7.7316000000000003</v>
      </c>
      <c r="AB18" s="19">
        <v>2.4449400000000008</v>
      </c>
      <c r="AC18" s="16">
        <v>10.176540000000001</v>
      </c>
      <c r="AD18" s="19"/>
      <c r="AE18" s="19">
        <v>0.7597474190638468</v>
      </c>
      <c r="AF18" s="19">
        <v>106.31338476637279</v>
      </c>
      <c r="AG18" s="19">
        <v>15.901727597201226</v>
      </c>
      <c r="AH18" s="19">
        <v>32.959733635901785</v>
      </c>
      <c r="AI18" s="39">
        <v>0.46143627090262501</v>
      </c>
      <c r="AJ18" s="19"/>
      <c r="AK18" s="5">
        <f t="shared" si="2"/>
        <v>0.65946830184630434</v>
      </c>
      <c r="AL18" s="39"/>
      <c r="AM18" s="19">
        <v>6.6827237093703706</v>
      </c>
      <c r="AO18" s="19">
        <f t="shared" si="3"/>
        <v>47.104878703307449</v>
      </c>
      <c r="AP18" s="39">
        <f t="shared" si="4"/>
        <v>0.65946830184630434</v>
      </c>
    </row>
    <row r="19" spans="1:42" s="38" customFormat="1">
      <c r="A19" s="38">
        <v>3</v>
      </c>
      <c r="B19" s="38" t="s">
        <v>43</v>
      </c>
      <c r="C19" s="38" t="s">
        <v>0</v>
      </c>
      <c r="D19" s="36">
        <v>37448</v>
      </c>
      <c r="E19" s="46">
        <v>0.33680555555555558</v>
      </c>
      <c r="F19" s="19">
        <v>2.6</v>
      </c>
      <c r="G19" s="19">
        <v>1.31</v>
      </c>
      <c r="H19" s="19"/>
      <c r="I19" s="20">
        <v>0.5</v>
      </c>
      <c r="J19" s="20">
        <v>23.3</v>
      </c>
      <c r="K19" s="19">
        <v>4.8499999999999996</v>
      </c>
      <c r="L19" s="20">
        <v>69.3</v>
      </c>
      <c r="M19" s="20"/>
      <c r="N19" s="38" t="s">
        <v>49</v>
      </c>
      <c r="O19" s="40"/>
      <c r="P19" s="38" t="s">
        <v>50</v>
      </c>
      <c r="Q19" s="38" t="s">
        <v>49</v>
      </c>
      <c r="R19" s="20">
        <v>30.8</v>
      </c>
      <c r="S19" s="19">
        <v>0.56101599999999996</v>
      </c>
      <c r="T19" s="19">
        <v>0.86848199999999998</v>
      </c>
      <c r="U19" s="16">
        <f t="shared" si="0"/>
        <v>1.2158748E-2</v>
      </c>
      <c r="V19" s="19">
        <v>0.46373556566774571</v>
      </c>
      <c r="W19" s="16">
        <f t="shared" si="1"/>
        <v>6.4922979193484404E-3</v>
      </c>
      <c r="X19" s="19">
        <v>1.3322175656677457</v>
      </c>
      <c r="Y19" s="19"/>
      <c r="Z19" s="19">
        <v>34.390092937920009</v>
      </c>
      <c r="AA19" s="19">
        <v>7.2047214285714274</v>
      </c>
      <c r="AB19" s="19">
        <v>1.497493571428572</v>
      </c>
      <c r="AC19" s="16">
        <v>8.7022149999999989</v>
      </c>
      <c r="AD19" s="19"/>
      <c r="AE19" s="19">
        <v>0.82791811378728619</v>
      </c>
      <c r="AF19" s="19">
        <v>150.09516821449327</v>
      </c>
      <c r="AG19" s="19">
        <v>27.310574850688507</v>
      </c>
      <c r="AH19" s="19">
        <v>61.700667788608513</v>
      </c>
      <c r="AI19" s="39">
        <v>0.8638093490405192</v>
      </c>
      <c r="AJ19" s="19"/>
      <c r="AK19" s="5">
        <f t="shared" si="2"/>
        <v>0.88246039495986761</v>
      </c>
      <c r="AL19" s="39"/>
      <c r="AM19" s="19">
        <v>5.4934571416890572</v>
      </c>
      <c r="AO19" s="19">
        <f t="shared" si="3"/>
        <v>63.03288535427626</v>
      </c>
      <c r="AP19" s="39">
        <f t="shared" si="4"/>
        <v>0.88246039495986761</v>
      </c>
    </row>
    <row r="20" spans="1:42" s="38" customFormat="1">
      <c r="A20" s="38">
        <v>3</v>
      </c>
      <c r="B20" s="38" t="s">
        <v>44</v>
      </c>
      <c r="C20" s="38" t="s">
        <v>0</v>
      </c>
      <c r="D20" s="36">
        <v>37448</v>
      </c>
      <c r="E20" s="46">
        <v>0.33958333333333335</v>
      </c>
      <c r="F20" s="19"/>
      <c r="G20" s="19"/>
      <c r="H20" s="19"/>
      <c r="I20" s="20">
        <v>2.1</v>
      </c>
      <c r="J20" s="20">
        <v>23.3</v>
      </c>
      <c r="K20" s="19">
        <v>4.62</v>
      </c>
      <c r="L20" s="20">
        <v>65.2</v>
      </c>
      <c r="M20" s="20"/>
      <c r="O20" s="40"/>
      <c r="R20" s="20">
        <v>31.2</v>
      </c>
      <c r="S20" s="19">
        <v>0.56101599999999996</v>
      </c>
      <c r="T20" s="19">
        <v>1.4551310000000004</v>
      </c>
      <c r="U20" s="16">
        <f t="shared" si="0"/>
        <v>2.0371834000000005E-2</v>
      </c>
      <c r="V20" s="19">
        <v>0.11955448794475404</v>
      </c>
      <c r="W20" s="16">
        <f t="shared" si="1"/>
        <v>1.6737628312265566E-3</v>
      </c>
      <c r="X20" s="19">
        <v>1.5746854879447545</v>
      </c>
      <c r="Y20" s="19"/>
      <c r="Z20" s="19">
        <v>24.722006772536972</v>
      </c>
      <c r="AA20" s="19">
        <v>8.9388428571428555</v>
      </c>
      <c r="AB20" s="19">
        <v>1.5335821428571439</v>
      </c>
      <c r="AC20" s="16">
        <v>10.472424999999999</v>
      </c>
      <c r="AD20" s="19"/>
      <c r="AE20" s="19">
        <v>0.85355997843315723</v>
      </c>
      <c r="AF20" s="19">
        <v>210.17965980764782</v>
      </c>
      <c r="AG20" s="19">
        <v>30.500173138424682</v>
      </c>
      <c r="AH20" s="19">
        <v>55.222179910961657</v>
      </c>
      <c r="AI20" s="39">
        <v>0.77311051875346326</v>
      </c>
      <c r="AJ20" s="19"/>
      <c r="AK20" s="5">
        <f t="shared" si="2"/>
        <v>0.79515611558468968</v>
      </c>
      <c r="AL20" s="39"/>
      <c r="AM20" s="19">
        <v>6.8880810765972642</v>
      </c>
      <c r="AO20" s="19">
        <f t="shared" si="3"/>
        <v>56.796865398906412</v>
      </c>
      <c r="AP20" s="39">
        <f t="shared" si="4"/>
        <v>0.79515611558468979</v>
      </c>
    </row>
    <row r="21" spans="1:42" s="38" customFormat="1">
      <c r="A21" s="38">
        <v>3</v>
      </c>
      <c r="B21" s="38" t="s">
        <v>43</v>
      </c>
      <c r="C21" s="38" t="s">
        <v>0</v>
      </c>
      <c r="D21" s="36">
        <v>37462</v>
      </c>
      <c r="E21" s="46">
        <v>0.32291666666666669</v>
      </c>
      <c r="F21" s="19">
        <v>2.4500000000000002</v>
      </c>
      <c r="G21" s="19">
        <v>1.5</v>
      </c>
      <c r="H21" s="19"/>
      <c r="I21" s="20">
        <v>0.5</v>
      </c>
      <c r="J21" s="20">
        <v>22.8</v>
      </c>
      <c r="K21" s="19">
        <v>5.6</v>
      </c>
      <c r="L21" s="20">
        <v>78.8</v>
      </c>
      <c r="M21" s="20"/>
      <c r="N21" s="38" t="s">
        <v>49</v>
      </c>
      <c r="O21" s="40"/>
      <c r="P21" s="38" t="s">
        <v>50</v>
      </c>
      <c r="Q21" s="38" t="s">
        <v>49</v>
      </c>
      <c r="R21" s="20">
        <v>30.8</v>
      </c>
      <c r="S21" s="19">
        <v>0.23262899999999997</v>
      </c>
      <c r="T21" s="19">
        <v>0.72656450000000006</v>
      </c>
      <c r="U21" s="16">
        <f t="shared" si="0"/>
        <v>1.0171903000000001E-2</v>
      </c>
      <c r="V21" s="19">
        <v>0.24235813031702777</v>
      </c>
      <c r="W21" s="16">
        <f t="shared" si="1"/>
        <v>3.3930138244383889E-3</v>
      </c>
      <c r="X21" s="19">
        <v>0.96892263031702786</v>
      </c>
      <c r="Y21" s="19"/>
      <c r="Z21" s="19">
        <v>46.844270235524192</v>
      </c>
      <c r="AA21" s="19">
        <v>11.860414285714285</v>
      </c>
      <c r="AB21" s="19">
        <v>0.72536571428571839</v>
      </c>
      <c r="AC21" s="16">
        <v>12.585780000000003</v>
      </c>
      <c r="AD21" s="19"/>
      <c r="AE21" s="19">
        <v>0.94236624871198138</v>
      </c>
      <c r="AF21" s="19">
        <v>97.809511713330224</v>
      </c>
      <c r="AG21" s="19">
        <v>15.199549577483806</v>
      </c>
      <c r="AH21" s="19">
        <v>62.043819813008</v>
      </c>
      <c r="AI21" s="39">
        <v>0.86861347738211203</v>
      </c>
      <c r="AJ21" s="19"/>
      <c r="AK21" s="5">
        <f t="shared" si="2"/>
        <v>0.88217839420655031</v>
      </c>
      <c r="AL21" s="39"/>
      <c r="AM21" s="19">
        <v>6.4322104136508198</v>
      </c>
      <c r="AO21" s="19">
        <f t="shared" si="3"/>
        <v>63.012742443325024</v>
      </c>
      <c r="AP21" s="39">
        <f t="shared" si="4"/>
        <v>0.88217839420655031</v>
      </c>
    </row>
    <row r="22" spans="1:42" s="38" customFormat="1">
      <c r="A22" s="38">
        <v>3</v>
      </c>
      <c r="B22" s="38" t="s">
        <v>44</v>
      </c>
      <c r="C22" s="38" t="s">
        <v>0</v>
      </c>
      <c r="D22" s="36">
        <v>37462</v>
      </c>
      <c r="E22" s="46">
        <v>0.32361111111111113</v>
      </c>
      <c r="F22" s="19"/>
      <c r="G22" s="19"/>
      <c r="H22" s="19"/>
      <c r="I22" s="20">
        <v>1.5</v>
      </c>
      <c r="J22" s="20">
        <v>22.8</v>
      </c>
      <c r="K22" s="19">
        <v>5.42</v>
      </c>
      <c r="L22" s="20">
        <v>76</v>
      </c>
      <c r="M22" s="20"/>
      <c r="O22" s="40"/>
      <c r="R22" s="21">
        <v>30.8</v>
      </c>
      <c r="S22" s="19">
        <v>0.64121399999999995</v>
      </c>
      <c r="T22" s="19">
        <v>1.5455310000000002</v>
      </c>
      <c r="U22" s="16">
        <f t="shared" si="0"/>
        <v>2.1637434000000004E-2</v>
      </c>
      <c r="V22" s="22">
        <v>0.14548942584102501</v>
      </c>
      <c r="W22" s="16">
        <f t="shared" si="1"/>
        <v>2.0368519617743499E-3</v>
      </c>
      <c r="X22" s="19">
        <v>1.6910204258410253</v>
      </c>
      <c r="Y22" s="19"/>
      <c r="Z22" s="19">
        <v>39.996146698158974</v>
      </c>
      <c r="AA22" s="19">
        <v>10.69725</v>
      </c>
      <c r="AB22" s="19">
        <v>1.3243000000000009</v>
      </c>
      <c r="AC22" s="16">
        <v>12.021550000000001</v>
      </c>
      <c r="AD22" s="19"/>
      <c r="AE22" s="19">
        <v>0.88983949657074168</v>
      </c>
      <c r="AF22" s="19">
        <v>108.49046648574915</v>
      </c>
      <c r="AG22" s="19">
        <v>16.600303152568149</v>
      </c>
      <c r="AH22" s="19">
        <v>56.596449850727126</v>
      </c>
      <c r="AI22" s="39">
        <v>0.79235029791017975</v>
      </c>
      <c r="AJ22" s="19"/>
      <c r="AK22" s="5">
        <f t="shared" si="2"/>
        <v>0.81602458387195398</v>
      </c>
      <c r="AL22" s="39"/>
      <c r="AM22" s="19">
        <v>6.5325903907193972</v>
      </c>
      <c r="AO22" s="19">
        <f t="shared" si="3"/>
        <v>58.28747027656815</v>
      </c>
      <c r="AP22" s="39">
        <f t="shared" si="4"/>
        <v>0.81602458387195409</v>
      </c>
    </row>
    <row r="23" spans="1:42" s="38" customFormat="1">
      <c r="A23" s="38">
        <v>3</v>
      </c>
      <c r="B23" s="38" t="s">
        <v>43</v>
      </c>
      <c r="C23" s="38" t="s">
        <v>0</v>
      </c>
      <c r="D23" s="36">
        <v>37481</v>
      </c>
      <c r="E23" s="46">
        <v>0.31944444444444448</v>
      </c>
      <c r="F23" s="19">
        <v>3</v>
      </c>
      <c r="G23" s="19">
        <v>1.25</v>
      </c>
      <c r="H23" s="19"/>
      <c r="I23" s="20">
        <v>0.5</v>
      </c>
      <c r="J23" s="20">
        <v>24.5</v>
      </c>
      <c r="K23" s="19">
        <v>5.9</v>
      </c>
      <c r="L23" s="20">
        <v>89.2</v>
      </c>
      <c r="M23" s="20"/>
      <c r="N23" s="38" t="s">
        <v>49</v>
      </c>
      <c r="O23" s="40"/>
      <c r="Q23" s="38" t="s">
        <v>49</v>
      </c>
      <c r="R23" s="20">
        <v>29.9</v>
      </c>
      <c r="S23" s="19">
        <v>0.116933</v>
      </c>
      <c r="T23" s="19">
        <v>2.5683284999999998</v>
      </c>
      <c r="U23" s="16">
        <f t="shared" si="0"/>
        <v>3.5956598999999999E-2</v>
      </c>
      <c r="V23" s="19">
        <v>0.20470495464115099</v>
      </c>
      <c r="W23" s="16">
        <f t="shared" si="1"/>
        <v>2.8658693649761141E-3</v>
      </c>
      <c r="X23" s="19">
        <v>2.7730334546411508</v>
      </c>
      <c r="Y23" s="19"/>
      <c r="Z23" s="19">
        <v>32.123396819543864</v>
      </c>
      <c r="AA23" s="19">
        <v>8.5114142857142845</v>
      </c>
      <c r="AB23" s="19">
        <v>2.1752957142857134</v>
      </c>
      <c r="AC23" s="16">
        <v>10.686709999999998</v>
      </c>
      <c r="AD23" s="19"/>
      <c r="AE23" s="19">
        <v>0.79644851275222084</v>
      </c>
      <c r="AF23" s="19">
        <v>91.787808077856212</v>
      </c>
      <c r="AG23" s="19">
        <v>13.716398733276858</v>
      </c>
      <c r="AH23" s="19">
        <v>45.839795552820718</v>
      </c>
      <c r="AI23" s="39">
        <v>0.64175713773949006</v>
      </c>
      <c r="AJ23" s="19"/>
      <c r="AK23" s="5">
        <f t="shared" si="2"/>
        <v>0.68057960610446622</v>
      </c>
      <c r="AL23" s="39"/>
      <c r="AM23" s="19">
        <v>6.6889009926998222</v>
      </c>
      <c r="AO23" s="19">
        <f t="shared" si="3"/>
        <v>48.612829007461869</v>
      </c>
      <c r="AP23" s="39">
        <f t="shared" si="4"/>
        <v>0.68057960610446622</v>
      </c>
    </row>
    <row r="24" spans="1:42" s="38" customFormat="1">
      <c r="A24" s="38">
        <v>3</v>
      </c>
      <c r="B24" s="38" t="s">
        <v>44</v>
      </c>
      <c r="C24" s="38" t="s">
        <v>0</v>
      </c>
      <c r="D24" s="36">
        <v>37481</v>
      </c>
      <c r="E24" s="46">
        <v>0.3263888888888889</v>
      </c>
      <c r="F24" s="19"/>
      <c r="G24" s="19"/>
      <c r="H24" s="19"/>
      <c r="I24" s="20">
        <v>2.5</v>
      </c>
      <c r="J24" s="20">
        <v>24.6</v>
      </c>
      <c r="K24" s="19">
        <v>3.8</v>
      </c>
      <c r="L24" s="20">
        <v>57.4</v>
      </c>
      <c r="M24" s="20"/>
      <c r="O24" s="40"/>
      <c r="R24" s="20">
        <v>31.4</v>
      </c>
      <c r="S24" s="19">
        <v>0.52371800000000002</v>
      </c>
      <c r="T24" s="19">
        <v>5.5938870000000005</v>
      </c>
      <c r="U24" s="16">
        <f t="shared" si="0"/>
        <v>7.8314418000000011E-2</v>
      </c>
      <c r="V24" s="19">
        <v>0.1003957871700787</v>
      </c>
      <c r="W24" s="16">
        <f t="shared" si="1"/>
        <v>1.4055410203811019E-3</v>
      </c>
      <c r="X24" s="19">
        <v>5.6942827871700796</v>
      </c>
      <c r="Y24" s="19"/>
      <c r="Z24" s="19">
        <v>27.856152246366449</v>
      </c>
      <c r="AA24" s="19">
        <v>4.170585714285715</v>
      </c>
      <c r="AB24" s="19">
        <v>4.7260242857142858</v>
      </c>
      <c r="AC24" s="16">
        <v>8.8966100000000008</v>
      </c>
      <c r="AD24" s="19"/>
      <c r="AE24" s="19">
        <v>0.46878369561953537</v>
      </c>
      <c r="AF24" s="19">
        <v>105.91694509963877</v>
      </c>
      <c r="AG24" s="19">
        <v>16.1471181723938</v>
      </c>
      <c r="AH24" s="19">
        <v>44.003270418760252</v>
      </c>
      <c r="AI24" s="39">
        <v>0.61604578586264358</v>
      </c>
      <c r="AJ24" s="19"/>
      <c r="AK24" s="5">
        <f t="shared" si="2"/>
        <v>0.69576574488302467</v>
      </c>
      <c r="AL24" s="39"/>
      <c r="AM24" s="19">
        <v>6.5566242072412679</v>
      </c>
      <c r="AO24" s="19">
        <f t="shared" si="3"/>
        <v>49.697553205930333</v>
      </c>
      <c r="AP24" s="39">
        <f t="shared" si="4"/>
        <v>0.69576574488302467</v>
      </c>
    </row>
    <row r="25" spans="1:42" s="38" customFormat="1">
      <c r="A25" s="38">
        <v>3</v>
      </c>
      <c r="B25" s="38" t="s">
        <v>43</v>
      </c>
      <c r="C25" s="38" t="s">
        <v>0</v>
      </c>
      <c r="D25" s="36">
        <v>37525</v>
      </c>
      <c r="E25" s="46">
        <v>0.3263888888888889</v>
      </c>
      <c r="F25" s="19">
        <v>2.6</v>
      </c>
      <c r="G25" s="19">
        <v>1.95</v>
      </c>
      <c r="H25" s="19"/>
      <c r="I25" s="20">
        <v>0.5</v>
      </c>
      <c r="J25" s="20">
        <v>20.3</v>
      </c>
      <c r="K25" s="19">
        <v>5.47</v>
      </c>
      <c r="L25" s="20">
        <v>73.3</v>
      </c>
      <c r="M25" s="20"/>
      <c r="N25" s="38" t="s">
        <v>51</v>
      </c>
      <c r="O25" s="40">
        <v>0</v>
      </c>
      <c r="P25" s="38" t="s">
        <v>52</v>
      </c>
      <c r="Q25" s="38" t="s">
        <v>49</v>
      </c>
      <c r="R25" s="20">
        <v>30.2</v>
      </c>
      <c r="S25" s="19">
        <v>1.152318</v>
      </c>
      <c r="T25" s="19">
        <v>8.0411030000000014</v>
      </c>
      <c r="U25" s="16">
        <f t="shared" si="0"/>
        <v>0.11257544200000003</v>
      </c>
      <c r="V25" s="19">
        <v>1.6063819489657276</v>
      </c>
      <c r="W25" s="16">
        <f t="shared" si="1"/>
        <v>2.2489347285520187E-2</v>
      </c>
      <c r="X25" s="19">
        <v>9.6474849489657295</v>
      </c>
      <c r="Y25" s="19"/>
      <c r="Z25" s="19">
        <v>23.138203642252908</v>
      </c>
      <c r="AA25" s="19">
        <v>3.8845000000000014</v>
      </c>
      <c r="AB25" s="19">
        <v>1.1142366666666657</v>
      </c>
      <c r="AC25" s="16">
        <v>4.9987366666666668</v>
      </c>
      <c r="AD25" s="19"/>
      <c r="AE25" s="19">
        <v>0.77709634634350977</v>
      </c>
      <c r="AF25" s="19">
        <v>39.101555789631654</v>
      </c>
      <c r="AG25" s="19">
        <v>5.0139834140429738</v>
      </c>
      <c r="AH25" s="19">
        <v>28.15218705629588</v>
      </c>
      <c r="AI25" s="39">
        <v>0.39413061878814232</v>
      </c>
      <c r="AJ25" s="19"/>
      <c r="AK25" s="5">
        <f t="shared" si="2"/>
        <v>0.52919540807366261</v>
      </c>
      <c r="AL25" s="39"/>
      <c r="AM25" s="19">
        <v>7.7950878662819711</v>
      </c>
      <c r="AO25" s="19">
        <f t="shared" si="3"/>
        <v>37.799672005261613</v>
      </c>
      <c r="AP25" s="39">
        <f t="shared" si="4"/>
        <v>0.52919540807366261</v>
      </c>
    </row>
    <row r="26" spans="1:42" s="38" customFormat="1">
      <c r="A26" s="38">
        <v>3</v>
      </c>
      <c r="B26" s="38" t="s">
        <v>44</v>
      </c>
      <c r="C26" s="38" t="s">
        <v>0</v>
      </c>
      <c r="D26" s="36">
        <v>37525</v>
      </c>
      <c r="E26" s="46">
        <v>0.32708333333333334</v>
      </c>
      <c r="F26" s="19"/>
      <c r="G26" s="19"/>
      <c r="H26" s="16">
        <f>SUM(G17:G26)/5</f>
        <v>1.472</v>
      </c>
      <c r="I26" s="20">
        <v>2.1</v>
      </c>
      <c r="J26" s="20">
        <v>20.5</v>
      </c>
      <c r="K26" s="19">
        <v>5.12</v>
      </c>
      <c r="L26" s="20">
        <v>68.900000000000006</v>
      </c>
      <c r="M26" s="17">
        <f>SUM(K17:K26)/10</f>
        <v>5.1939999999999991</v>
      </c>
      <c r="O26" s="40"/>
      <c r="R26" s="20">
        <v>30.1</v>
      </c>
      <c r="S26" s="19">
        <v>1.1267849999999999</v>
      </c>
      <c r="T26" s="19">
        <v>8.2302509999999991</v>
      </c>
      <c r="U26" s="16">
        <f t="shared" si="0"/>
        <v>0.11522351399999999</v>
      </c>
      <c r="V26" s="19">
        <v>1.5663690234761936</v>
      </c>
      <c r="W26" s="16">
        <f t="shared" si="1"/>
        <v>2.1929166328666712E-2</v>
      </c>
      <c r="X26" s="19">
        <v>9.7966200234761924</v>
      </c>
      <c r="Y26" s="16">
        <f>SUM(X17:X26)/10</f>
        <v>6.1518679186504626</v>
      </c>
      <c r="Z26" s="19">
        <v>31.111171416093519</v>
      </c>
      <c r="AA26" s="19">
        <v>4.6767000000000003</v>
      </c>
      <c r="AB26" s="19">
        <v>0.80452500000000016</v>
      </c>
      <c r="AC26" s="16">
        <v>5.4812250000000002</v>
      </c>
      <c r="AD26" s="16">
        <f>SUM(AC17:AC26)/10</f>
        <v>10.009571666666666</v>
      </c>
      <c r="AE26" s="19">
        <v>0.85322167946033967</v>
      </c>
      <c r="AF26" s="19">
        <v>39.635593426343313</v>
      </c>
      <c r="AG26" s="19">
        <v>5.1251101394262344</v>
      </c>
      <c r="AH26" s="19">
        <v>36.236281555519753</v>
      </c>
      <c r="AI26" s="39">
        <v>0.50730794177727656</v>
      </c>
      <c r="AJ26" s="16">
        <f>SUM(AI17:AI26)/10</f>
        <v>0.62562309045235198</v>
      </c>
      <c r="AK26" s="5">
        <f t="shared" si="2"/>
        <v>0.64446062210594324</v>
      </c>
      <c r="AL26" s="5">
        <f>SUM(AK17:AK26)/10</f>
        <v>0.71174924131345851</v>
      </c>
      <c r="AM26" s="19">
        <v>7.7302231730405602</v>
      </c>
      <c r="AO26" s="19">
        <f t="shared" si="3"/>
        <v>46.032901578995947</v>
      </c>
      <c r="AP26" s="39">
        <f t="shared" si="4"/>
        <v>0.64446062210594324</v>
      </c>
    </row>
    <row r="27" spans="1:42" s="38" customFormat="1">
      <c r="A27" s="38">
        <v>3</v>
      </c>
      <c r="B27" s="38" t="s">
        <v>43</v>
      </c>
      <c r="C27" s="38" t="s">
        <v>0</v>
      </c>
      <c r="D27" s="36">
        <v>37789</v>
      </c>
      <c r="E27" s="46">
        <v>0.31597222222222221</v>
      </c>
      <c r="F27" s="19">
        <v>2.95</v>
      </c>
      <c r="G27" s="19">
        <v>1.05</v>
      </c>
      <c r="H27" s="19"/>
      <c r="I27" s="20">
        <v>0.5</v>
      </c>
      <c r="J27" s="20">
        <v>18.600000000000001</v>
      </c>
      <c r="K27" s="19">
        <v>8.25</v>
      </c>
      <c r="L27" s="20">
        <v>106</v>
      </c>
      <c r="M27" s="20"/>
      <c r="N27" s="38" t="s">
        <v>51</v>
      </c>
      <c r="O27" s="40">
        <v>1</v>
      </c>
      <c r="P27" s="38" t="s">
        <v>43</v>
      </c>
      <c r="Q27" s="38" t="s">
        <v>49</v>
      </c>
      <c r="R27" s="20">
        <v>30</v>
      </c>
      <c r="S27" s="19">
        <v>9.538461538461529E-2</v>
      </c>
      <c r="T27" s="19">
        <v>2.4613271649559056</v>
      </c>
      <c r="U27" s="16">
        <f t="shared" si="0"/>
        <v>3.4458580309382682E-2</v>
      </c>
      <c r="V27" s="19">
        <v>0.05</v>
      </c>
      <c r="W27" s="16">
        <f t="shared" si="1"/>
        <v>7.000000000000001E-4</v>
      </c>
      <c r="X27" s="19">
        <v>2.4863271649559056</v>
      </c>
      <c r="Y27" s="19"/>
      <c r="Z27" s="19">
        <v>40.318713618078355</v>
      </c>
      <c r="AA27" s="19">
        <v>16.831457142857143</v>
      </c>
      <c r="AB27" s="19">
        <v>0.05</v>
      </c>
      <c r="AC27" s="19">
        <v>16.881457142857144</v>
      </c>
      <c r="AD27" s="19"/>
      <c r="AE27" s="19">
        <v>1</v>
      </c>
      <c r="AF27" s="19">
        <v>153.75002709691955</v>
      </c>
      <c r="AG27" s="19">
        <v>23.058277344299345</v>
      </c>
      <c r="AH27" s="22">
        <v>42.805040783034258</v>
      </c>
      <c r="AI27" s="39">
        <v>0.5992705709624796</v>
      </c>
      <c r="AJ27" s="19"/>
      <c r="AK27" s="5">
        <f t="shared" si="2"/>
        <v>0.9220864537826704</v>
      </c>
      <c r="AL27" s="39"/>
      <c r="AM27" s="19">
        <v>6.6678887065659689</v>
      </c>
      <c r="AO27" s="19">
        <f t="shared" si="3"/>
        <v>45.29136794799016</v>
      </c>
      <c r="AP27" s="39">
        <f t="shared" si="4"/>
        <v>0.63407915127186221</v>
      </c>
    </row>
    <row r="28" spans="1:42" s="38" customFormat="1">
      <c r="A28" s="38">
        <v>3</v>
      </c>
      <c r="B28" s="38" t="s">
        <v>44</v>
      </c>
      <c r="C28" s="38" t="s">
        <v>0</v>
      </c>
      <c r="D28" s="36">
        <v>37789</v>
      </c>
      <c r="E28" s="46">
        <v>0.31597222222222221</v>
      </c>
      <c r="F28" s="19"/>
      <c r="G28" s="19"/>
      <c r="H28" s="19"/>
      <c r="I28" s="20">
        <v>1.5</v>
      </c>
      <c r="J28" s="20">
        <v>18.600000000000001</v>
      </c>
      <c r="K28" s="19">
        <v>7</v>
      </c>
      <c r="L28" s="20">
        <v>91</v>
      </c>
      <c r="M28" s="20"/>
      <c r="O28" s="40"/>
      <c r="R28" s="20"/>
      <c r="S28" s="19">
        <v>0.45615384615384619</v>
      </c>
      <c r="T28" s="19">
        <v>4.1784010409136938</v>
      </c>
      <c r="U28" s="16">
        <f t="shared" si="0"/>
        <v>5.8497614572791713E-2</v>
      </c>
      <c r="V28" s="19">
        <v>0.05</v>
      </c>
      <c r="W28" s="16">
        <f t="shared" si="1"/>
        <v>7.000000000000001E-4</v>
      </c>
      <c r="X28" s="19">
        <v>4.2034010409136942</v>
      </c>
      <c r="Y28" s="19"/>
      <c r="Z28" s="19">
        <v>19.178719676867711</v>
      </c>
      <c r="AA28" s="19">
        <v>10.021257142857142</v>
      </c>
      <c r="AB28" s="19">
        <v>1.1666128571428587</v>
      </c>
      <c r="AC28" s="19">
        <v>11.18787</v>
      </c>
      <c r="AD28" s="19"/>
      <c r="AE28" s="19">
        <v>0.89572520442739689</v>
      </c>
      <c r="AF28" s="19">
        <v>104.07515656569032</v>
      </c>
      <c r="AG28" s="19">
        <v>17.193387524464171</v>
      </c>
      <c r="AH28" s="22">
        <v>23.382120717781405</v>
      </c>
      <c r="AI28" s="39">
        <v>0.32734969004893966</v>
      </c>
      <c r="AJ28" s="19"/>
      <c r="AK28" s="5">
        <f t="shared" si="2"/>
        <v>0.56805711539143811</v>
      </c>
      <c r="AL28" s="39"/>
      <c r="AM28" s="19">
        <v>6.0532083289348071</v>
      </c>
      <c r="AO28" s="19">
        <f t="shared" si="3"/>
        <v>27.585521758695098</v>
      </c>
      <c r="AP28" s="39">
        <f t="shared" si="4"/>
        <v>0.38619730462173135</v>
      </c>
    </row>
    <row r="29" spans="1:42" s="38" customFormat="1">
      <c r="A29" s="38">
        <v>3</v>
      </c>
      <c r="B29" s="38" t="s">
        <v>43</v>
      </c>
      <c r="C29" s="38" t="s">
        <v>0</v>
      </c>
      <c r="D29" s="36">
        <v>37805</v>
      </c>
      <c r="E29" s="46">
        <v>0.3298611111111111</v>
      </c>
      <c r="F29" s="19">
        <v>2.4</v>
      </c>
      <c r="G29" s="19">
        <v>1.9</v>
      </c>
      <c r="H29" s="19"/>
      <c r="I29" s="20">
        <v>0.5</v>
      </c>
      <c r="J29" s="20">
        <v>23.1</v>
      </c>
      <c r="K29" s="19">
        <v>6.59</v>
      </c>
      <c r="L29" s="20">
        <v>91.5</v>
      </c>
      <c r="M29" s="20"/>
      <c r="N29" s="38" t="s">
        <v>49</v>
      </c>
      <c r="O29" s="40">
        <v>2</v>
      </c>
      <c r="P29" s="38" t="s">
        <v>53</v>
      </c>
      <c r="Q29" s="38" t="s">
        <v>49</v>
      </c>
      <c r="R29" s="20">
        <v>30</v>
      </c>
      <c r="S29" s="22">
        <v>0.60785692423502968</v>
      </c>
      <c r="T29" s="19">
        <v>5.9201572080422054</v>
      </c>
      <c r="U29" s="16">
        <f t="shared" si="0"/>
        <v>8.2882200912590881E-2</v>
      </c>
      <c r="V29" s="19">
        <v>0.62776659959758563</v>
      </c>
      <c r="W29" s="16">
        <f t="shared" si="1"/>
        <v>8.7887323943661982E-3</v>
      </c>
      <c r="X29" s="19">
        <v>6.5479238076397905</v>
      </c>
      <c r="Y29" s="19"/>
      <c r="Z29" s="19">
        <v>39.009971787792516</v>
      </c>
      <c r="AA29" s="19">
        <v>5.9825428571428585</v>
      </c>
      <c r="AB29" s="19">
        <v>2.8752221428571443</v>
      </c>
      <c r="AC29" s="19">
        <v>8.8577650000000023</v>
      </c>
      <c r="AD29" s="19"/>
      <c r="AE29" s="19">
        <v>0.67540094562712572</v>
      </c>
      <c r="AF29" s="19">
        <v>124.9808049032607</v>
      </c>
      <c r="AG29" s="19">
        <v>17.329035324351739</v>
      </c>
      <c r="AH29" s="22">
        <v>45.557895595432306</v>
      </c>
      <c r="AI29" s="39">
        <v>0.63781053833605228</v>
      </c>
      <c r="AJ29" s="19"/>
      <c r="AK29" s="5">
        <f t="shared" si="2"/>
        <v>0.8804170328769767</v>
      </c>
      <c r="AL29" s="39"/>
      <c r="AM29" s="19">
        <v>7.2122194088686875</v>
      </c>
      <c r="AO29" s="19">
        <f t="shared" si="3"/>
        <v>52.105819403072097</v>
      </c>
      <c r="AP29" s="39">
        <f t="shared" si="4"/>
        <v>0.72948147164300936</v>
      </c>
    </row>
    <row r="30" spans="1:42" s="38" customFormat="1">
      <c r="A30" s="38">
        <v>3</v>
      </c>
      <c r="B30" s="38" t="s">
        <v>44</v>
      </c>
      <c r="C30" s="38" t="s">
        <v>0</v>
      </c>
      <c r="D30" s="36">
        <v>37805</v>
      </c>
      <c r="E30" s="46">
        <v>0.33194444444444443</v>
      </c>
      <c r="F30" s="19"/>
      <c r="G30" s="19"/>
      <c r="H30" s="19"/>
      <c r="I30" s="20">
        <v>1.9</v>
      </c>
      <c r="J30" s="20">
        <v>23</v>
      </c>
      <c r="K30" s="19">
        <v>5.6</v>
      </c>
      <c r="L30" s="20">
        <v>77.7</v>
      </c>
      <c r="M30" s="20"/>
      <c r="O30" s="40"/>
      <c r="R30" s="20"/>
      <c r="S30" s="19">
        <v>0.79059645233427378</v>
      </c>
      <c r="T30" s="19">
        <v>5.5534874290348739</v>
      </c>
      <c r="U30" s="16">
        <f t="shared" si="0"/>
        <v>7.7748824006488235E-2</v>
      </c>
      <c r="V30" s="19">
        <v>0.39134808853118719</v>
      </c>
      <c r="W30" s="16">
        <f t="shared" si="1"/>
        <v>5.4788732394366211E-3</v>
      </c>
      <c r="X30" s="19">
        <v>5.9448355175660614</v>
      </c>
      <c r="Y30" s="19"/>
      <c r="Z30" s="19">
        <v>20.710123699399674</v>
      </c>
      <c r="AA30" s="19">
        <v>6.5578714285714268</v>
      </c>
      <c r="AB30" s="19">
        <v>1.8862835714285744</v>
      </c>
      <c r="AC30" s="19">
        <v>8.4441550000000021</v>
      </c>
      <c r="AD30" s="19"/>
      <c r="AE30" s="19">
        <v>0.77661665715177242</v>
      </c>
      <c r="AF30" s="19">
        <v>86.933369833087454</v>
      </c>
      <c r="AG30" s="19">
        <v>19.340552762866977</v>
      </c>
      <c r="AH30" s="22">
        <v>26.654959216965736</v>
      </c>
      <c r="AI30" s="39">
        <v>0.37316942903752032</v>
      </c>
      <c r="AJ30" s="19"/>
      <c r="AK30" s="5">
        <f t="shared" si="2"/>
        <v>0.64393716771765797</v>
      </c>
      <c r="AL30" s="39"/>
      <c r="AM30" s="19">
        <v>4.4948751413142523</v>
      </c>
      <c r="AO30" s="19">
        <f t="shared" si="3"/>
        <v>32.599794734531798</v>
      </c>
      <c r="AP30" s="39">
        <f t="shared" si="4"/>
        <v>0.4563971262834452</v>
      </c>
    </row>
    <row r="31" spans="1:42" s="38" customFormat="1">
      <c r="A31" s="38">
        <v>3</v>
      </c>
      <c r="B31" s="38" t="s">
        <v>43</v>
      </c>
      <c r="C31" s="38" t="s">
        <v>0</v>
      </c>
      <c r="D31" s="36">
        <v>37819</v>
      </c>
      <c r="E31" s="46">
        <v>0.32291666666666669</v>
      </c>
      <c r="F31" s="19">
        <v>2.9</v>
      </c>
      <c r="G31" s="19">
        <v>1.3</v>
      </c>
      <c r="H31" s="19"/>
      <c r="I31" s="20">
        <v>0.5</v>
      </c>
      <c r="J31" s="20">
        <v>23.1</v>
      </c>
      <c r="K31" s="19">
        <v>6.55</v>
      </c>
      <c r="L31" s="20">
        <v>90.5</v>
      </c>
      <c r="M31" s="20"/>
      <c r="N31" s="38" t="s">
        <v>49</v>
      </c>
      <c r="O31" s="40">
        <v>1</v>
      </c>
      <c r="P31" s="38" t="s">
        <v>54</v>
      </c>
      <c r="Q31" s="38" t="s">
        <v>49</v>
      </c>
      <c r="R31" s="20">
        <v>30</v>
      </c>
      <c r="S31" s="19">
        <v>0.32868300380793403</v>
      </c>
      <c r="T31" s="19">
        <v>4.7522101810922575</v>
      </c>
      <c r="U31" s="16">
        <f t="shared" si="0"/>
        <v>6.6530942535291612E-2</v>
      </c>
      <c r="V31" s="19">
        <v>0.14084507042253525</v>
      </c>
      <c r="W31" s="16">
        <f t="shared" si="1"/>
        <v>1.9718309859154933E-3</v>
      </c>
      <c r="X31" s="19">
        <v>4.8930552515147925</v>
      </c>
      <c r="Y31" s="19"/>
      <c r="Z31" s="19">
        <v>59.323078516837569</v>
      </c>
      <c r="AA31" s="19">
        <v>11.801399999999999</v>
      </c>
      <c r="AB31" s="19">
        <v>0.74392000000000214</v>
      </c>
      <c r="AC31" s="19">
        <v>12.545320000000002</v>
      </c>
      <c r="AD31" s="19"/>
      <c r="AE31" s="19">
        <v>0.94070139302943223</v>
      </c>
      <c r="AF31" s="19">
        <v>103.16513877317229</v>
      </c>
      <c r="AG31" s="19">
        <v>16.430953178365197</v>
      </c>
      <c r="AH31" s="22">
        <v>64.216133768352364</v>
      </c>
      <c r="AI31" s="39">
        <v>0.89902587275693313</v>
      </c>
      <c r="AJ31" s="19"/>
      <c r="AK31" s="5">
        <f t="shared" si="2"/>
        <v>1.1290592172540459</v>
      </c>
      <c r="AL31" s="39"/>
      <c r="AM31" s="19">
        <v>6.2787068804389801</v>
      </c>
      <c r="AO31" s="19">
        <f t="shared" si="3"/>
        <v>69.109189019867159</v>
      </c>
      <c r="AP31" s="39">
        <f t="shared" si="4"/>
        <v>0.96752864627814028</v>
      </c>
    </row>
    <row r="32" spans="1:42" s="38" customFormat="1">
      <c r="A32" s="38">
        <v>3</v>
      </c>
      <c r="B32" s="38" t="s">
        <v>44</v>
      </c>
      <c r="C32" s="38" t="s">
        <v>0</v>
      </c>
      <c r="D32" s="36">
        <v>37819</v>
      </c>
      <c r="E32" s="46">
        <v>0.3298611111111111</v>
      </c>
      <c r="F32" s="19"/>
      <c r="G32" s="19"/>
      <c r="H32" s="19"/>
      <c r="I32" s="20">
        <v>2.4</v>
      </c>
      <c r="J32" s="20">
        <v>23.2</v>
      </c>
      <c r="K32" s="19">
        <v>4.97</v>
      </c>
      <c r="L32" s="20">
        <v>70</v>
      </c>
      <c r="M32" s="20"/>
      <c r="N32" s="38" t="s">
        <v>49</v>
      </c>
      <c r="O32" s="40">
        <v>1</v>
      </c>
      <c r="P32" s="38" t="s">
        <v>54</v>
      </c>
      <c r="Q32" s="38" t="s">
        <v>49</v>
      </c>
      <c r="R32" s="20"/>
      <c r="S32" s="22">
        <v>0.51468141431005521</v>
      </c>
      <c r="T32" s="19">
        <v>3.6266672746756652</v>
      </c>
      <c r="U32" s="16">
        <f t="shared" si="0"/>
        <v>5.0773341845459313E-2</v>
      </c>
      <c r="V32" s="19">
        <v>9.8490945674044275E-2</v>
      </c>
      <c r="W32" s="16">
        <f t="shared" si="1"/>
        <v>1.3788732394366199E-3</v>
      </c>
      <c r="X32" s="19">
        <v>3.7251582203497096</v>
      </c>
      <c r="Y32" s="19"/>
      <c r="Z32" s="19">
        <v>34.185918451754695</v>
      </c>
      <c r="AA32" s="19">
        <v>10.858628571428573</v>
      </c>
      <c r="AB32" s="19">
        <v>1.6943414285714271</v>
      </c>
      <c r="AC32" s="19">
        <v>12.55297</v>
      </c>
      <c r="AD32" s="19"/>
      <c r="AE32" s="19">
        <v>0.86502465722682143</v>
      </c>
      <c r="AF32" s="19">
        <v>127.79578471668665</v>
      </c>
      <c r="AG32" s="19">
        <v>21.43583368113535</v>
      </c>
      <c r="AH32" s="22">
        <v>37.911076672104407</v>
      </c>
      <c r="AI32" s="39">
        <v>0.53075507340946171</v>
      </c>
      <c r="AJ32" s="19"/>
      <c r="AK32" s="5">
        <f t="shared" si="2"/>
        <v>0.83085674494535666</v>
      </c>
      <c r="AL32" s="39"/>
      <c r="AM32" s="19">
        <v>5.9617828080628188</v>
      </c>
      <c r="AO32" s="19">
        <f t="shared" si="3"/>
        <v>41.636234892454119</v>
      </c>
      <c r="AP32" s="39">
        <f t="shared" si="4"/>
        <v>0.58290728849435769</v>
      </c>
    </row>
    <row r="33" spans="1:42" s="38" customFormat="1">
      <c r="A33" s="38">
        <v>3</v>
      </c>
      <c r="B33" s="38" t="s">
        <v>43</v>
      </c>
      <c r="C33" s="38" t="s">
        <v>0</v>
      </c>
      <c r="D33" s="36">
        <v>37838</v>
      </c>
      <c r="E33" s="46">
        <v>0.40625</v>
      </c>
      <c r="F33" s="19">
        <v>2.72</v>
      </c>
      <c r="G33" s="19">
        <v>1.65</v>
      </c>
      <c r="H33" s="19"/>
      <c r="I33" s="20">
        <v>0.5</v>
      </c>
      <c r="J33" s="20">
        <v>25</v>
      </c>
      <c r="K33" s="19">
        <v>4.5999999999999996</v>
      </c>
      <c r="L33" s="20">
        <v>65</v>
      </c>
      <c r="M33" s="20"/>
      <c r="N33" s="38" t="s">
        <v>51</v>
      </c>
      <c r="O33" s="40">
        <v>1</v>
      </c>
      <c r="P33" s="38" t="s">
        <v>43</v>
      </c>
      <c r="Q33" s="38" t="s">
        <v>49</v>
      </c>
      <c r="R33" s="20">
        <v>30</v>
      </c>
      <c r="S33" s="19">
        <v>0.88750778843538025</v>
      </c>
      <c r="T33" s="22">
        <v>8.5493216280925779</v>
      </c>
      <c r="U33" s="16">
        <f t="shared" si="0"/>
        <v>0.1196905027932961</v>
      </c>
      <c r="V33" s="19">
        <v>0.66197183098591561</v>
      </c>
      <c r="W33" s="16">
        <f t="shared" si="1"/>
        <v>9.2676056338028192E-3</v>
      </c>
      <c r="X33" s="19">
        <v>9.2112934590784938</v>
      </c>
      <c r="Y33" s="19"/>
      <c r="Z33" s="19">
        <v>33.287874567022655</v>
      </c>
      <c r="AA33" s="19">
        <v>9.3110214285714292</v>
      </c>
      <c r="AB33" s="19">
        <v>1.7480735714285696</v>
      </c>
      <c r="AC33" s="19">
        <v>11.059094999999999</v>
      </c>
      <c r="AD33" s="19"/>
      <c r="AE33" s="19">
        <v>0.84193339767597886</v>
      </c>
      <c r="AF33" s="19">
        <v>78.153800962505343</v>
      </c>
      <c r="AG33" s="19">
        <v>13.717079896481156</v>
      </c>
      <c r="AH33" s="22">
        <v>42.499168026101145</v>
      </c>
      <c r="AI33" s="39">
        <v>0.59498835236541603</v>
      </c>
      <c r="AJ33" s="19"/>
      <c r="AK33" s="5">
        <f t="shared" si="2"/>
        <v>0.78702747091615222</v>
      </c>
      <c r="AL33" s="39"/>
      <c r="AM33" s="19">
        <v>5.697553819931759</v>
      </c>
      <c r="AO33" s="19">
        <f t="shared" si="3"/>
        <v>51.710461485179636</v>
      </c>
      <c r="AP33" s="39">
        <f t="shared" si="4"/>
        <v>0.7239464607925149</v>
      </c>
    </row>
    <row r="34" spans="1:42" s="38" customFormat="1">
      <c r="A34" s="38">
        <v>3</v>
      </c>
      <c r="B34" s="38" t="s">
        <v>44</v>
      </c>
      <c r="C34" s="38" t="s">
        <v>0</v>
      </c>
      <c r="D34" s="36">
        <v>37838</v>
      </c>
      <c r="E34" s="46">
        <v>0.40972222222222227</v>
      </c>
      <c r="F34" s="19"/>
      <c r="G34" s="19"/>
      <c r="H34" s="19"/>
      <c r="I34" s="20">
        <v>2.2000000000000002</v>
      </c>
      <c r="J34" s="20">
        <v>25.2</v>
      </c>
      <c r="K34" s="19">
        <v>3</v>
      </c>
      <c r="L34" s="20">
        <v>44.7</v>
      </c>
      <c r="M34" s="20"/>
      <c r="O34" s="40"/>
      <c r="R34" s="20"/>
      <c r="S34" s="19">
        <v>0.77995629700485303</v>
      </c>
      <c r="T34" s="22">
        <v>4.996930541304045</v>
      </c>
      <c r="U34" s="16">
        <f t="shared" si="0"/>
        <v>6.9957027578256628E-2</v>
      </c>
      <c r="V34" s="19">
        <v>0.24346076458752519</v>
      </c>
      <c r="W34" s="16">
        <f t="shared" si="1"/>
        <v>3.4084507042253529E-3</v>
      </c>
      <c r="X34" s="19">
        <v>5.2403913058915705</v>
      </c>
      <c r="Y34" s="19"/>
      <c r="Z34" s="19">
        <v>57.140505920862104</v>
      </c>
      <c r="AA34" s="19">
        <v>7.0474714285714288</v>
      </c>
      <c r="AB34" s="19">
        <v>2.3477485714285704</v>
      </c>
      <c r="AC34" s="19">
        <v>9.3952199999999984</v>
      </c>
      <c r="AD34" s="19"/>
      <c r="AE34" s="19">
        <v>0.75011244319679904</v>
      </c>
      <c r="AF34" s="19">
        <v>67.652362769534108</v>
      </c>
      <c r="AG34" s="19">
        <v>11.371042160807647</v>
      </c>
      <c r="AH34" s="22">
        <v>62.380897226753675</v>
      </c>
      <c r="AI34" s="39">
        <v>0.87333256117455149</v>
      </c>
      <c r="AJ34" s="19"/>
      <c r="AK34" s="5">
        <f t="shared" si="2"/>
        <v>1.0325271514258585</v>
      </c>
      <c r="AL34" s="39"/>
      <c r="AM34" s="19">
        <v>5.9495305542626697</v>
      </c>
      <c r="AO34" s="19">
        <f t="shared" si="3"/>
        <v>67.621288532645252</v>
      </c>
      <c r="AP34" s="39">
        <f t="shared" si="4"/>
        <v>0.94669803945703357</v>
      </c>
    </row>
    <row r="35" spans="1:42" s="38" customFormat="1">
      <c r="A35" s="38">
        <v>3</v>
      </c>
      <c r="B35" s="38" t="s">
        <v>43</v>
      </c>
      <c r="C35" s="38" t="s">
        <v>0</v>
      </c>
      <c r="D35" s="36">
        <v>37852</v>
      </c>
      <c r="E35" s="46">
        <v>0.32291666666666669</v>
      </c>
      <c r="F35" s="19">
        <v>2.9</v>
      </c>
      <c r="G35" s="19">
        <v>1.6</v>
      </c>
      <c r="H35" s="19"/>
      <c r="I35" s="20">
        <v>0.5</v>
      </c>
      <c r="J35" s="20">
        <v>24.1</v>
      </c>
      <c r="K35" s="19">
        <v>6.23</v>
      </c>
      <c r="L35" s="20">
        <v>86.5</v>
      </c>
      <c r="M35" s="20"/>
      <c r="N35" s="38" t="s">
        <v>49</v>
      </c>
      <c r="O35" s="40">
        <v>1</v>
      </c>
      <c r="P35" s="38" t="s">
        <v>53</v>
      </c>
      <c r="Q35" s="38" t="s">
        <v>49</v>
      </c>
      <c r="R35" s="20">
        <v>30</v>
      </c>
      <c r="S35" s="19">
        <v>0.86420875211978343</v>
      </c>
      <c r="T35" s="19">
        <v>2.0759713559036328</v>
      </c>
      <c r="U35" s="16">
        <f t="shared" si="0"/>
        <v>2.906359898265086E-2</v>
      </c>
      <c r="V35" s="19">
        <v>0.21227364185110667</v>
      </c>
      <c r="W35" s="16">
        <f t="shared" si="1"/>
        <v>2.9718309859154933E-3</v>
      </c>
      <c r="X35" s="19">
        <v>2.2882449977547394</v>
      </c>
      <c r="Y35" s="19"/>
      <c r="Z35" s="19">
        <v>71.715816992457334</v>
      </c>
      <c r="AA35" s="19">
        <v>10.340735714285715</v>
      </c>
      <c r="AB35" s="19">
        <v>0.05</v>
      </c>
      <c r="AC35" s="19">
        <v>10.390735714285716</v>
      </c>
      <c r="AD35" s="19"/>
      <c r="AE35" s="19">
        <v>1</v>
      </c>
      <c r="AF35" s="19">
        <v>100.57808413416311</v>
      </c>
      <c r="AG35" s="19">
        <v>19.086899602578299</v>
      </c>
      <c r="AH35" s="22">
        <v>74.00406199021208</v>
      </c>
      <c r="AI35" s="39">
        <v>1.0360568678629691</v>
      </c>
      <c r="AJ35" s="19"/>
      <c r="AK35" s="5">
        <f t="shared" si="2"/>
        <v>1.3032734622990654</v>
      </c>
      <c r="AL35" s="39"/>
      <c r="AM35" s="19">
        <v>5.2694825366282538</v>
      </c>
      <c r="AO35" s="19">
        <f t="shared" si="3"/>
        <v>76.292306987966825</v>
      </c>
      <c r="AP35" s="39">
        <f t="shared" si="4"/>
        <v>1.0680922978315355</v>
      </c>
    </row>
    <row r="36" spans="1:42" s="38" customFormat="1">
      <c r="A36" s="38">
        <v>3</v>
      </c>
      <c r="B36" s="38" t="s">
        <v>44</v>
      </c>
      <c r="C36" s="38" t="s">
        <v>0</v>
      </c>
      <c r="D36" s="36">
        <v>37852</v>
      </c>
      <c r="E36" s="46">
        <v>0.3298611111111111</v>
      </c>
      <c r="F36" s="19"/>
      <c r="G36" s="19"/>
      <c r="H36" s="19"/>
      <c r="I36" s="20">
        <v>2.4</v>
      </c>
      <c r="J36" s="20">
        <v>24.1</v>
      </c>
      <c r="K36" s="19">
        <v>4.6100000000000003</v>
      </c>
      <c r="L36" s="20">
        <v>64.8</v>
      </c>
      <c r="M36" s="20"/>
      <c r="O36" s="40"/>
      <c r="R36" s="20"/>
      <c r="S36" s="19">
        <v>1.3191876576911938</v>
      </c>
      <c r="T36" s="19">
        <v>3.2707116313501872</v>
      </c>
      <c r="U36" s="16">
        <f t="shared" si="0"/>
        <v>4.5789962838902624E-2</v>
      </c>
      <c r="V36" s="19">
        <v>0.17806841046277669</v>
      </c>
      <c r="W36" s="16">
        <f t="shared" si="1"/>
        <v>2.4929577464788736E-3</v>
      </c>
      <c r="X36" s="19">
        <v>3.4487800418129639</v>
      </c>
      <c r="Y36" s="19"/>
      <c r="Z36" s="19">
        <v>58.626244428007595</v>
      </c>
      <c r="AA36" s="19">
        <v>9.9967285714285712</v>
      </c>
      <c r="AB36" s="19">
        <v>1.6744514285714296</v>
      </c>
      <c r="AC36" s="19">
        <v>11.671180000000001</v>
      </c>
      <c r="AD36" s="19"/>
      <c r="AE36" s="19">
        <v>0.85653109380787285</v>
      </c>
      <c r="AF36" s="19">
        <v>100.36593386763845</v>
      </c>
      <c r="AG36" s="19">
        <v>18.357021195924318</v>
      </c>
      <c r="AH36" s="22">
        <v>62.075024469820562</v>
      </c>
      <c r="AI36" s="39">
        <v>0.86905034257748792</v>
      </c>
      <c r="AJ36" s="19"/>
      <c r="AK36" s="5">
        <f t="shared" si="2"/>
        <v>1.1260486393204283</v>
      </c>
      <c r="AL36" s="39"/>
      <c r="AM36" s="19">
        <v>5.467441193014583</v>
      </c>
      <c r="AO36" s="19">
        <f t="shared" si="3"/>
        <v>65.523804511633529</v>
      </c>
      <c r="AP36" s="39">
        <f t="shared" si="4"/>
        <v>0.91733326316286945</v>
      </c>
    </row>
    <row r="37" spans="1:42" s="38" customFormat="1">
      <c r="A37" s="38">
        <v>3</v>
      </c>
      <c r="B37" s="38" t="s">
        <v>43</v>
      </c>
      <c r="C37" s="38" t="s">
        <v>0</v>
      </c>
      <c r="D37" s="36">
        <v>37867</v>
      </c>
      <c r="E37" s="46">
        <v>0.32291666666666669</v>
      </c>
      <c r="F37" s="19">
        <v>3</v>
      </c>
      <c r="G37" s="19">
        <v>1.93</v>
      </c>
      <c r="H37" s="19"/>
      <c r="I37" s="20">
        <v>0.5</v>
      </c>
      <c r="J37" s="20">
        <v>20.3</v>
      </c>
      <c r="K37" s="19">
        <v>4.8899999999999997</v>
      </c>
      <c r="L37" s="20">
        <v>64.900000000000006</v>
      </c>
      <c r="M37" s="20"/>
      <c r="N37" s="38" t="s">
        <v>55</v>
      </c>
      <c r="O37" s="40">
        <v>1</v>
      </c>
      <c r="P37" s="38" t="s">
        <v>50</v>
      </c>
      <c r="Q37" s="38" t="s">
        <v>49</v>
      </c>
      <c r="R37" s="20">
        <v>31</v>
      </c>
      <c r="S37" s="19">
        <v>1.3165350013639174</v>
      </c>
      <c r="T37" s="19">
        <v>7.3469903967231858</v>
      </c>
      <c r="U37" s="16">
        <f t="shared" si="0"/>
        <v>0.1028578655541246</v>
      </c>
      <c r="V37" s="19">
        <v>1.4989939637826963</v>
      </c>
      <c r="W37" s="16">
        <f t="shared" si="1"/>
        <v>2.0985915492957748E-2</v>
      </c>
      <c r="X37" s="19">
        <v>8.8459843605058825</v>
      </c>
      <c r="Y37" s="19"/>
      <c r="Z37" s="19">
        <v>107.06264532954306</v>
      </c>
      <c r="AA37" s="19">
        <v>4.285335714285714</v>
      </c>
      <c r="AB37" s="19">
        <v>2.4066292857142875</v>
      </c>
      <c r="AC37" s="19">
        <v>6.6919650000000015</v>
      </c>
      <c r="AD37" s="19"/>
      <c r="AE37" s="19">
        <v>0.64037031190176774</v>
      </c>
      <c r="AF37" s="19">
        <v>69.14118619550058</v>
      </c>
      <c r="AG37" s="19">
        <v>10.704883297591712</v>
      </c>
      <c r="AH37" s="22">
        <v>115.90862969004894</v>
      </c>
      <c r="AI37" s="39">
        <v>1.6227208156606852</v>
      </c>
      <c r="AJ37" s="19"/>
      <c r="AK37" s="5">
        <f t="shared" si="2"/>
        <v>1.772589181826969</v>
      </c>
      <c r="AL37" s="39"/>
      <c r="AM37" s="19">
        <v>6.4588453954519371</v>
      </c>
      <c r="AO37" s="19">
        <f t="shared" si="3"/>
        <v>124.75461405055482</v>
      </c>
      <c r="AP37" s="39">
        <f t="shared" si="4"/>
        <v>1.7465645967077674</v>
      </c>
    </row>
    <row r="38" spans="1:42" s="38" customFormat="1">
      <c r="A38" s="38">
        <v>3</v>
      </c>
      <c r="B38" s="38" t="s">
        <v>44</v>
      </c>
      <c r="C38" s="38" t="s">
        <v>0</v>
      </c>
      <c r="D38" s="36">
        <v>37867</v>
      </c>
      <c r="E38" s="46">
        <v>0.32500000000000001</v>
      </c>
      <c r="F38" s="19"/>
      <c r="G38" s="19"/>
      <c r="H38" s="16">
        <f>SUM(G27:G38)/6</f>
        <v>1.5716666666666665</v>
      </c>
      <c r="I38" s="20">
        <v>2.5</v>
      </c>
      <c r="J38" s="20">
        <v>20.399999999999999</v>
      </c>
      <c r="K38" s="19">
        <v>4.49</v>
      </c>
      <c r="L38" s="20">
        <v>59.4</v>
      </c>
      <c r="M38" s="17">
        <f>SUM(K27:K38)/12</f>
        <v>5.5649999999999986</v>
      </c>
      <c r="O38" s="40"/>
      <c r="R38" s="20"/>
      <c r="S38" s="19">
        <v>1.0064660492576778</v>
      </c>
      <c r="T38" s="19">
        <v>9.9733615655203032</v>
      </c>
      <c r="U38" s="16">
        <f t="shared" si="0"/>
        <v>0.13962706191728425</v>
      </c>
      <c r="V38" s="19">
        <v>0.7193158953722335</v>
      </c>
      <c r="W38" s="16">
        <f t="shared" si="1"/>
        <v>1.0070422535211268E-2</v>
      </c>
      <c r="X38" s="19">
        <v>10.692677460892536</v>
      </c>
      <c r="Y38" s="16">
        <f>SUM(X27:X38)/12</f>
        <v>5.6273393857396785</v>
      </c>
      <c r="Z38" s="19">
        <v>18.65396201708462</v>
      </c>
      <c r="AA38" s="19">
        <v>6.0000285714285706</v>
      </c>
      <c r="AB38" s="19">
        <v>1.6336514285714314</v>
      </c>
      <c r="AC38" s="19">
        <v>7.6336800000000018</v>
      </c>
      <c r="AD38" s="16">
        <f>SUM(AC27:AC38)/12</f>
        <v>10.609284404761905</v>
      </c>
      <c r="AE38" s="19">
        <v>0.78599424804662621</v>
      </c>
      <c r="AF38" s="19">
        <v>64.946268258752738</v>
      </c>
      <c r="AG38" s="19">
        <v>8.8454311663541905</v>
      </c>
      <c r="AH38" s="22">
        <v>29.346639477977156</v>
      </c>
      <c r="AI38" s="39">
        <v>0.41085295269168021</v>
      </c>
      <c r="AJ38" s="16">
        <f>SUM(AI27:AI38)/12</f>
        <v>0.73119858890701472</v>
      </c>
      <c r="AK38" s="5">
        <f t="shared" si="2"/>
        <v>0.53468898902063888</v>
      </c>
      <c r="AL38" s="5">
        <f>SUM(AK27:AK38)/12</f>
        <v>0.96088071889810489</v>
      </c>
      <c r="AM38" s="19">
        <v>7.3423518918774828</v>
      </c>
      <c r="AO38" s="19">
        <f t="shared" si="3"/>
        <v>40.039316938869689</v>
      </c>
      <c r="AP38" s="39">
        <f t="shared" si="4"/>
        <v>0.56055043714417563</v>
      </c>
    </row>
    <row r="39" spans="1:42" s="38" customFormat="1">
      <c r="A39" s="61">
        <v>3</v>
      </c>
      <c r="B39" s="38" t="s">
        <v>43</v>
      </c>
      <c r="C39" s="38" t="s">
        <v>0</v>
      </c>
      <c r="D39" s="36">
        <v>38161</v>
      </c>
      <c r="E39" s="46">
        <v>0.3527777777777778</v>
      </c>
      <c r="F39" s="19">
        <v>3.1</v>
      </c>
      <c r="G39" s="19">
        <v>1.5</v>
      </c>
      <c r="H39" s="19"/>
      <c r="I39" s="20">
        <v>0.5</v>
      </c>
      <c r="J39" s="20">
        <v>20.100000000000001</v>
      </c>
      <c r="K39" s="19">
        <v>6.48</v>
      </c>
      <c r="L39" s="20">
        <v>86.1</v>
      </c>
      <c r="M39" s="20"/>
      <c r="N39" s="38" t="s">
        <v>55</v>
      </c>
      <c r="O39" s="40">
        <v>2</v>
      </c>
      <c r="P39" s="38" t="s">
        <v>52</v>
      </c>
      <c r="Q39" s="38" t="s">
        <v>49</v>
      </c>
      <c r="R39" s="20">
        <v>30</v>
      </c>
      <c r="S39" s="19">
        <v>0.18295218295218293</v>
      </c>
      <c r="T39" s="19">
        <v>2.2320612670209696</v>
      </c>
      <c r="U39" s="16">
        <f t="shared" si="0"/>
        <v>3.1248857738293577E-2</v>
      </c>
      <c r="V39" s="19">
        <v>0.2929184549356223</v>
      </c>
      <c r="W39" s="16">
        <f t="shared" si="1"/>
        <v>4.1008583690987123E-3</v>
      </c>
      <c r="X39" s="19">
        <v>2.5249797219565919</v>
      </c>
      <c r="Y39" s="19"/>
      <c r="Z39" s="19">
        <v>62.873941105073165</v>
      </c>
      <c r="AA39" s="19">
        <v>10.746550000000001</v>
      </c>
      <c r="AB39" s="19">
        <v>0.28083999999999776</v>
      </c>
      <c r="AC39" s="19">
        <v>11.027389999999999</v>
      </c>
      <c r="AD39" s="19"/>
      <c r="AE39" s="19">
        <v>0.97453250497171151</v>
      </c>
      <c r="AF39" s="19">
        <v>77.219950528867287</v>
      </c>
      <c r="AG39" s="19">
        <v>12.282881744985776</v>
      </c>
      <c r="AH39" s="22">
        <v>65.398920827029755</v>
      </c>
      <c r="AI39" s="39">
        <v>0.9155848915784166</v>
      </c>
      <c r="AJ39" s="19"/>
      <c r="AK39" s="5">
        <f t="shared" si="2"/>
        <v>1.0875452360082174</v>
      </c>
      <c r="AL39" s="39"/>
      <c r="AM39" s="19">
        <v>6.2867942663691831</v>
      </c>
      <c r="AO39" s="19">
        <f t="shared" si="3"/>
        <v>67.923900548986353</v>
      </c>
      <c r="AP39" s="39">
        <f t="shared" si="4"/>
        <v>0.95093460768580895</v>
      </c>
    </row>
    <row r="40" spans="1:42" s="38" customFormat="1">
      <c r="A40" s="61">
        <v>3</v>
      </c>
      <c r="B40" s="38" t="s">
        <v>44</v>
      </c>
      <c r="C40" s="38" t="s">
        <v>0</v>
      </c>
      <c r="D40" s="36">
        <v>38161</v>
      </c>
      <c r="E40" s="46">
        <v>0.3527777777777778</v>
      </c>
      <c r="F40" s="19"/>
      <c r="G40" s="19"/>
      <c r="H40" s="19"/>
      <c r="I40" s="20">
        <v>2.6</v>
      </c>
      <c r="J40" s="20">
        <v>20.100000000000001</v>
      </c>
      <c r="K40" s="19">
        <v>5.08</v>
      </c>
      <c r="L40" s="20">
        <v>70.099999999999994</v>
      </c>
      <c r="M40" s="20"/>
      <c r="O40" s="40"/>
      <c r="R40" s="20"/>
      <c r="S40" s="19">
        <v>0.26340956340956345</v>
      </c>
      <c r="T40" s="19">
        <v>2.2320612670209696</v>
      </c>
      <c r="U40" s="16">
        <f t="shared" si="0"/>
        <v>3.1248857738293577E-2</v>
      </c>
      <c r="V40" s="19">
        <v>0.2188841201716738</v>
      </c>
      <c r="W40" s="16">
        <f t="shared" si="1"/>
        <v>3.0643776824034333E-3</v>
      </c>
      <c r="X40" s="19">
        <v>2.4509453871926432</v>
      </c>
      <c r="Y40" s="19"/>
      <c r="Z40" s="19">
        <v>62.947975439837109</v>
      </c>
      <c r="AA40" s="19">
        <v>10.00037142857143</v>
      </c>
      <c r="AB40" s="19">
        <v>0.60822357142856942</v>
      </c>
      <c r="AC40" s="19">
        <v>10.608594999999999</v>
      </c>
      <c r="AD40" s="19"/>
      <c r="AE40" s="19">
        <v>0.94266690627471694</v>
      </c>
      <c r="AF40" s="19">
        <v>84.524127898125187</v>
      </c>
      <c r="AG40" s="19">
        <v>12.689315991225946</v>
      </c>
      <c r="AH40" s="19">
        <v>65.398920827029755</v>
      </c>
      <c r="AI40" s="39">
        <v>0.9155848915784166</v>
      </c>
      <c r="AJ40" s="19"/>
      <c r="AK40" s="5">
        <f t="shared" si="2"/>
        <v>1.0932353154555798</v>
      </c>
      <c r="AL40" s="39"/>
      <c r="AM40" s="19">
        <v>6.6610468173831885</v>
      </c>
      <c r="AO40" s="19">
        <f t="shared" si="3"/>
        <v>67.849866214222402</v>
      </c>
      <c r="AP40" s="39">
        <f t="shared" si="4"/>
        <v>0.94989812699911369</v>
      </c>
    </row>
    <row r="41" spans="1:42" s="38" customFormat="1">
      <c r="A41" s="61">
        <v>3</v>
      </c>
      <c r="B41" s="38" t="s">
        <v>43</v>
      </c>
      <c r="C41" s="38" t="s">
        <v>0</v>
      </c>
      <c r="D41" s="36">
        <v>38175</v>
      </c>
      <c r="E41" s="46">
        <v>0.35347222222222219</v>
      </c>
      <c r="F41" s="19">
        <v>3.05</v>
      </c>
      <c r="G41" s="19">
        <v>1.425</v>
      </c>
      <c r="H41" s="19"/>
      <c r="I41" s="20">
        <v>0.5</v>
      </c>
      <c r="J41" s="20">
        <v>23.3</v>
      </c>
      <c r="K41" s="19">
        <v>6.8</v>
      </c>
      <c r="L41" s="20">
        <v>94</v>
      </c>
      <c r="M41" s="20"/>
      <c r="N41" s="38" t="s">
        <v>55</v>
      </c>
      <c r="O41" s="40">
        <v>1</v>
      </c>
      <c r="P41" s="38" t="s">
        <v>52</v>
      </c>
      <c r="Q41" s="38" t="s">
        <v>49</v>
      </c>
      <c r="R41" s="20">
        <v>30</v>
      </c>
      <c r="S41" s="19">
        <v>0.4881223362032967</v>
      </c>
      <c r="T41" s="19">
        <v>4.4353274986687055</v>
      </c>
      <c r="U41" s="16">
        <f t="shared" si="0"/>
        <v>6.2094584981361875E-2</v>
      </c>
      <c r="V41" s="19">
        <v>0.53648068669527893</v>
      </c>
      <c r="W41" s="16">
        <f t="shared" si="1"/>
        <v>7.5107296137339056E-3</v>
      </c>
      <c r="X41" s="19">
        <v>4.9718081853639848</v>
      </c>
      <c r="Y41" s="19"/>
      <c r="Z41" s="19">
        <v>65.941484805054571</v>
      </c>
      <c r="AA41" s="19">
        <v>9.7218142857142844</v>
      </c>
      <c r="AB41" s="19">
        <v>1.2889157142857173</v>
      </c>
      <c r="AC41" s="19">
        <v>11.010730000000002</v>
      </c>
      <c r="AD41" s="19"/>
      <c r="AE41" s="19">
        <v>0.88294003083485673</v>
      </c>
      <c r="AF41" s="19">
        <v>110.54693752096239</v>
      </c>
      <c r="AG41" s="19">
        <v>19.350031466241628</v>
      </c>
      <c r="AH41" s="22">
        <v>70.913292990418554</v>
      </c>
      <c r="AI41" s="39">
        <v>0.9927861018658598</v>
      </c>
      <c r="AJ41" s="19"/>
      <c r="AK41" s="5">
        <f t="shared" si="2"/>
        <v>1.2636865423932426</v>
      </c>
      <c r="AL41" s="39"/>
      <c r="AM41" s="19">
        <v>5.7130107366401095</v>
      </c>
      <c r="AO41" s="19">
        <f t="shared" si="3"/>
        <v>75.885101175782538</v>
      </c>
      <c r="AP41" s="39">
        <f t="shared" si="4"/>
        <v>1.0623914164609556</v>
      </c>
    </row>
    <row r="42" spans="1:42" s="38" customFormat="1">
      <c r="A42" s="61">
        <v>3</v>
      </c>
      <c r="B42" s="38" t="s">
        <v>44</v>
      </c>
      <c r="C42" s="38" t="s">
        <v>0</v>
      </c>
      <c r="D42" s="36">
        <v>38175</v>
      </c>
      <c r="E42" s="46">
        <v>0.3576388888888889</v>
      </c>
      <c r="F42" s="19"/>
      <c r="G42" s="19"/>
      <c r="H42" s="19"/>
      <c r="I42" s="20">
        <v>2.5</v>
      </c>
      <c r="J42" s="20">
        <v>22.8</v>
      </c>
      <c r="K42" s="19">
        <v>4.5</v>
      </c>
      <c r="L42" s="20">
        <v>65</v>
      </c>
      <c r="M42" s="20"/>
      <c r="O42" s="40"/>
      <c r="R42" s="20"/>
      <c r="S42" s="19">
        <v>0.88027608066135488</v>
      </c>
      <c r="T42" s="19">
        <v>2.966699322360479</v>
      </c>
      <c r="U42" s="16">
        <f t="shared" si="0"/>
        <v>4.1533790513046703E-2</v>
      </c>
      <c r="V42" s="19">
        <v>0.28594399999999998</v>
      </c>
      <c r="W42" s="16">
        <f t="shared" si="1"/>
        <v>4.0032159999999995E-3</v>
      </c>
      <c r="X42" s="19">
        <v>3.2526433223604787</v>
      </c>
      <c r="Y42" s="19"/>
      <c r="Z42" s="19">
        <v>21.626088468556404</v>
      </c>
      <c r="AA42" s="19">
        <v>10.156892857142861</v>
      </c>
      <c r="AB42" s="19">
        <v>2.197857142857139</v>
      </c>
      <c r="AC42" s="19">
        <v>12.354749999999999</v>
      </c>
      <c r="AD42" s="19"/>
      <c r="AE42" s="19">
        <v>0.82210428030861504</v>
      </c>
      <c r="AF42" s="19">
        <v>91.193876467516787</v>
      </c>
      <c r="AG42" s="19">
        <v>15.668788978873485</v>
      </c>
      <c r="AH42" s="19">
        <v>24.878731790916884</v>
      </c>
      <c r="AI42" s="39">
        <v>0.34830224507283636</v>
      </c>
      <c r="AJ42" s="19"/>
      <c r="AK42" s="5">
        <f t="shared" si="2"/>
        <v>0.56766529077706518</v>
      </c>
      <c r="AL42" s="39"/>
      <c r="AM42" s="19">
        <v>5.8200973023808773</v>
      </c>
      <c r="AO42" s="19">
        <f t="shared" si="3"/>
        <v>28.131375113277365</v>
      </c>
      <c r="AP42" s="39">
        <f t="shared" si="4"/>
        <v>0.39383925158588312</v>
      </c>
    </row>
    <row r="43" spans="1:42" s="38" customFormat="1">
      <c r="A43" s="61">
        <v>3</v>
      </c>
      <c r="B43" s="38" t="s">
        <v>43</v>
      </c>
      <c r="C43" s="38" t="s">
        <v>0</v>
      </c>
      <c r="D43" s="36">
        <v>38190</v>
      </c>
      <c r="E43" s="46">
        <v>0.34722222222222227</v>
      </c>
      <c r="F43" s="19">
        <v>2.6</v>
      </c>
      <c r="G43" s="19">
        <v>1.55</v>
      </c>
      <c r="H43" s="19"/>
      <c r="I43" s="20">
        <v>0.5</v>
      </c>
      <c r="J43" s="20">
        <v>24.6</v>
      </c>
      <c r="K43" s="19">
        <v>5</v>
      </c>
      <c r="L43" s="20">
        <v>71</v>
      </c>
      <c r="M43" s="20"/>
      <c r="N43" s="38" t="s">
        <v>56</v>
      </c>
      <c r="O43" s="40">
        <v>0</v>
      </c>
      <c r="Q43" s="38" t="s">
        <v>57</v>
      </c>
      <c r="R43" s="20">
        <v>31</v>
      </c>
      <c r="S43" s="19">
        <v>0.12539783577339264</v>
      </c>
      <c r="T43" s="19">
        <v>2.5157689489112229</v>
      </c>
      <c r="U43" s="16">
        <f t="shared" si="0"/>
        <v>3.5220765284757122E-2</v>
      </c>
      <c r="V43" s="19">
        <v>0.47667658424814469</v>
      </c>
      <c r="W43" s="16">
        <f t="shared" si="1"/>
        <v>6.6734721794740257E-3</v>
      </c>
      <c r="X43" s="19">
        <v>2.9924455331593678</v>
      </c>
      <c r="Y43" s="19"/>
      <c r="Z43" s="19">
        <v>91.97755446684063</v>
      </c>
      <c r="AA43" s="19">
        <v>5.9599571428571423</v>
      </c>
      <c r="AB43" s="19">
        <v>0.72376285714285626</v>
      </c>
      <c r="AC43" s="19">
        <v>6.6837199999999983</v>
      </c>
      <c r="AD43" s="19"/>
      <c r="AE43" s="19">
        <v>0.89171257067279053</v>
      </c>
      <c r="AF43" s="19">
        <v>102.05162709797307</v>
      </c>
      <c r="AG43" s="19">
        <v>16.76410663476495</v>
      </c>
      <c r="AH43" s="22">
        <v>94.97</v>
      </c>
      <c r="AI43" s="39">
        <v>1.32958</v>
      </c>
      <c r="AJ43" s="19"/>
      <c r="AK43" s="5">
        <f t="shared" si="2"/>
        <v>1.5642774928867091</v>
      </c>
      <c r="AL43" s="39"/>
      <c r="AM43" s="19">
        <v>6.0875076329054822</v>
      </c>
      <c r="AO43" s="19">
        <f t="shared" si="3"/>
        <v>97.962445533159368</v>
      </c>
      <c r="AP43" s="39">
        <f t="shared" si="4"/>
        <v>1.3714742374642312</v>
      </c>
    </row>
    <row r="44" spans="1:42" s="38" customFormat="1">
      <c r="A44" s="61">
        <v>3</v>
      </c>
      <c r="B44" s="38" t="s">
        <v>44</v>
      </c>
      <c r="C44" s="38" t="s">
        <v>0</v>
      </c>
      <c r="D44" s="36">
        <v>38190</v>
      </c>
      <c r="E44" s="46">
        <v>0.34861111111111115</v>
      </c>
      <c r="F44" s="19"/>
      <c r="G44" s="19"/>
      <c r="H44" s="19"/>
      <c r="I44" s="20">
        <v>2.1</v>
      </c>
      <c r="J44" s="20">
        <v>24.4</v>
      </c>
      <c r="K44" s="19">
        <v>5.4</v>
      </c>
      <c r="L44" s="20">
        <v>74</v>
      </c>
      <c r="M44" s="20"/>
      <c r="O44" s="40"/>
      <c r="R44" s="20"/>
      <c r="S44" s="19">
        <v>0.80563258698051188</v>
      </c>
      <c r="T44" s="19">
        <v>1.4409155150753774</v>
      </c>
      <c r="U44" s="16">
        <f t="shared" si="0"/>
        <v>2.0172817211055283E-2</v>
      </c>
      <c r="V44" s="19">
        <v>0.35568209021579289</v>
      </c>
      <c r="W44" s="16">
        <f t="shared" si="1"/>
        <v>4.9795492630211003E-3</v>
      </c>
      <c r="X44" s="19">
        <v>1.7965976052911703</v>
      </c>
      <c r="Y44" s="19"/>
      <c r="Z44" s="19">
        <v>30.53714239470883</v>
      </c>
      <c r="AA44" s="19">
        <v>9.9814285714285713</v>
      </c>
      <c r="AB44" s="19">
        <v>1.6078964285714288</v>
      </c>
      <c r="AC44" s="19">
        <v>11.589325000000001</v>
      </c>
      <c r="AD44" s="19"/>
      <c r="AE44" s="19">
        <v>0.86126056275310003</v>
      </c>
      <c r="AF44" s="19">
        <v>96.840748957477757</v>
      </c>
      <c r="AG44" s="19">
        <v>15.902131690939393</v>
      </c>
      <c r="AH44" s="19">
        <v>32.333739999999999</v>
      </c>
      <c r="AI44" s="39">
        <v>0.45267236</v>
      </c>
      <c r="AJ44" s="19"/>
      <c r="AK44" s="5">
        <f t="shared" si="2"/>
        <v>0.67530220367315152</v>
      </c>
      <c r="AL44" s="39"/>
      <c r="AM44" s="19">
        <v>6.089796691386665</v>
      </c>
      <c r="AO44" s="19">
        <f t="shared" si="3"/>
        <v>34.130337605291167</v>
      </c>
      <c r="AP44" s="39">
        <f t="shared" si="4"/>
        <v>0.47782472647407637</v>
      </c>
    </row>
    <row r="45" spans="1:42" s="38" customFormat="1">
      <c r="A45" s="61">
        <v>3</v>
      </c>
      <c r="B45" s="38" t="s">
        <v>43</v>
      </c>
      <c r="C45" s="38" t="s">
        <v>0</v>
      </c>
      <c r="D45" s="36">
        <v>38204</v>
      </c>
      <c r="E45" s="46">
        <v>0.34375</v>
      </c>
      <c r="F45" s="19">
        <v>2.4</v>
      </c>
      <c r="G45" s="19">
        <v>1.4</v>
      </c>
      <c r="H45" s="19"/>
      <c r="I45" s="20">
        <v>0.5</v>
      </c>
      <c r="J45" s="20">
        <v>24.4</v>
      </c>
      <c r="K45" s="19">
        <v>5.1100000000000003</v>
      </c>
      <c r="L45" s="20">
        <v>72.7</v>
      </c>
      <c r="M45" s="20"/>
      <c r="N45" s="38" t="s">
        <v>58</v>
      </c>
      <c r="O45" s="40">
        <v>4</v>
      </c>
      <c r="P45" s="38" t="s">
        <v>50</v>
      </c>
      <c r="Q45" s="38" t="s">
        <v>49</v>
      </c>
      <c r="R45" s="20">
        <v>30</v>
      </c>
      <c r="S45" s="19">
        <v>0.87854756300591286</v>
      </c>
      <c r="T45" s="19">
        <v>1.4733637205327246</v>
      </c>
      <c r="U45" s="16">
        <f t="shared" si="0"/>
        <v>2.0627092087458145E-2</v>
      </c>
      <c r="V45" s="19">
        <v>1.2516671796450187</v>
      </c>
      <c r="W45" s="16">
        <f t="shared" si="1"/>
        <v>1.7523340515030263E-2</v>
      </c>
      <c r="X45" s="19">
        <v>2.7250309001777433</v>
      </c>
      <c r="Y45" s="19"/>
      <c r="Z45" s="19">
        <v>77.969899099822257</v>
      </c>
      <c r="AA45" s="19">
        <v>11.051578571428569</v>
      </c>
      <c r="AB45" s="19">
        <v>0.05</v>
      </c>
      <c r="AC45" s="19">
        <v>11.1</v>
      </c>
      <c r="AD45" s="19"/>
      <c r="AE45" s="19">
        <v>1</v>
      </c>
      <c r="AF45" s="19">
        <v>68.944504574605361</v>
      </c>
      <c r="AG45" s="19">
        <v>10.92282708037305</v>
      </c>
      <c r="AH45" s="22">
        <v>80.694929999999999</v>
      </c>
      <c r="AI45" s="39">
        <v>1.1297290200000001</v>
      </c>
      <c r="AJ45" s="19"/>
      <c r="AK45" s="5">
        <f t="shared" si="2"/>
        <v>1.2826485991252228</v>
      </c>
      <c r="AL45" s="39"/>
      <c r="AM45" s="19">
        <v>6.3119652144351885</v>
      </c>
      <c r="AO45" s="19">
        <f t="shared" si="3"/>
        <v>83.419960900177742</v>
      </c>
      <c r="AP45" s="39">
        <f t="shared" si="4"/>
        <v>1.1678794526024885</v>
      </c>
    </row>
    <row r="46" spans="1:42" s="38" customFormat="1">
      <c r="A46" s="61">
        <v>3</v>
      </c>
      <c r="B46" s="38" t="s">
        <v>44</v>
      </c>
      <c r="C46" s="38" t="s">
        <v>0</v>
      </c>
      <c r="D46" s="36">
        <v>38204</v>
      </c>
      <c r="E46" s="46">
        <v>0.3444444444444445</v>
      </c>
      <c r="F46" s="19"/>
      <c r="G46" s="19"/>
      <c r="H46" s="19"/>
      <c r="I46" s="20">
        <v>1.9</v>
      </c>
      <c r="J46" s="20">
        <v>24.5</v>
      </c>
      <c r="K46" s="19">
        <v>4.8600000000000003</v>
      </c>
      <c r="L46" s="20">
        <v>67.7</v>
      </c>
      <c r="M46" s="20"/>
      <c r="O46" s="40"/>
      <c r="R46" s="20"/>
      <c r="S46" s="19">
        <v>0.61216028474654083</v>
      </c>
      <c r="T46" s="19">
        <v>0.38882558222348607</v>
      </c>
      <c r="U46" s="16">
        <f t="shared" si="0"/>
        <v>5.443558151128805E-3</v>
      </c>
      <c r="V46" s="19">
        <v>0.05</v>
      </c>
      <c r="W46" s="16">
        <f t="shared" si="1"/>
        <v>7.000000000000001E-4</v>
      </c>
      <c r="X46" s="19">
        <v>0.41382558222348609</v>
      </c>
      <c r="Y46" s="19"/>
      <c r="Z46" s="19">
        <v>17.877502609721677</v>
      </c>
      <c r="AA46" s="19">
        <v>11.963507142857143</v>
      </c>
      <c r="AB46" s="19">
        <v>0.49154285714285739</v>
      </c>
      <c r="AC46" s="19">
        <v>12.45505</v>
      </c>
      <c r="AD46" s="19"/>
      <c r="AE46" s="19">
        <v>0.96053465404451555</v>
      </c>
      <c r="AF46" s="19">
        <v>71.992580046782535</v>
      </c>
      <c r="AG46" s="19">
        <v>11.437275618275288</v>
      </c>
      <c r="AH46" s="19">
        <v>18.291328191945162</v>
      </c>
      <c r="AI46" s="39">
        <v>0.25607859468723226</v>
      </c>
      <c r="AJ46" s="19"/>
      <c r="AK46" s="5">
        <f t="shared" si="2"/>
        <v>0.41620045334308631</v>
      </c>
      <c r="AL46" s="39"/>
      <c r="AM46" s="19">
        <v>6.2945567152152648</v>
      </c>
      <c r="AO46" s="19">
        <f t="shared" si="3"/>
        <v>18.705153774168647</v>
      </c>
      <c r="AP46" s="39">
        <f t="shared" si="4"/>
        <v>0.26187215283836107</v>
      </c>
    </row>
    <row r="47" spans="1:42" s="38" customFormat="1">
      <c r="A47" s="61">
        <v>3</v>
      </c>
      <c r="B47" s="38" t="s">
        <v>43</v>
      </c>
      <c r="C47" s="38" t="s">
        <v>0</v>
      </c>
      <c r="D47" s="36">
        <v>38218</v>
      </c>
      <c r="E47" s="46">
        <v>0.3263888888888889</v>
      </c>
      <c r="F47" s="19">
        <v>2.2999999999999998</v>
      </c>
      <c r="G47" s="19">
        <v>1.5</v>
      </c>
      <c r="H47" s="19"/>
      <c r="I47" s="20">
        <v>0.5</v>
      </c>
      <c r="J47" s="20">
        <v>22.4</v>
      </c>
      <c r="K47" s="19">
        <v>6.83</v>
      </c>
      <c r="L47" s="20">
        <v>95</v>
      </c>
      <c r="M47" s="20"/>
      <c r="N47" s="38" t="s">
        <v>51</v>
      </c>
      <c r="O47" s="40">
        <v>2</v>
      </c>
      <c r="P47" s="38" t="s">
        <v>53</v>
      </c>
      <c r="Q47" s="38" t="s">
        <v>49</v>
      </c>
      <c r="R47" s="20">
        <v>30</v>
      </c>
      <c r="S47" s="19">
        <v>0.44114403859407314</v>
      </c>
      <c r="T47" s="19">
        <v>2.7427496045238833</v>
      </c>
      <c r="U47" s="16">
        <f t="shared" si="0"/>
        <v>3.8398494463334369E-2</v>
      </c>
      <c r="V47" s="19">
        <v>1.7836257309941517</v>
      </c>
      <c r="W47" s="16">
        <f t="shared" si="1"/>
        <v>2.4970760233918123E-2</v>
      </c>
      <c r="X47" s="19">
        <v>4.5263753355180345</v>
      </c>
      <c r="Y47" s="19"/>
      <c r="Z47" s="19">
        <v>31.984747200900138</v>
      </c>
      <c r="AA47" s="19">
        <v>8.0898142857142865</v>
      </c>
      <c r="AB47" s="19">
        <v>2.6568207142857125</v>
      </c>
      <c r="AC47" s="19">
        <v>10.746634999999999</v>
      </c>
      <c r="AD47" s="19"/>
      <c r="AE47" s="19">
        <v>0.7527765003384117</v>
      </c>
      <c r="AF47" s="19">
        <v>89.806063467809111</v>
      </c>
      <c r="AG47" s="19">
        <v>14.997617723912057</v>
      </c>
      <c r="AH47" s="19">
        <v>36.511122536418171</v>
      </c>
      <c r="AI47" s="39">
        <v>0.51115571550985439</v>
      </c>
      <c r="AJ47" s="19"/>
      <c r="AK47" s="5">
        <f t="shared" si="2"/>
        <v>0.72112236364462323</v>
      </c>
      <c r="AL47" s="39"/>
      <c r="AM47" s="19">
        <v>5.9880219059473152</v>
      </c>
      <c r="AO47" s="19">
        <f t="shared" si="3"/>
        <v>41.037497871936203</v>
      </c>
      <c r="AP47" s="39">
        <f t="shared" si="4"/>
        <v>0.57452497020710691</v>
      </c>
    </row>
    <row r="48" spans="1:42" s="38" customFormat="1">
      <c r="A48" s="61">
        <v>3</v>
      </c>
      <c r="B48" s="38" t="s">
        <v>44</v>
      </c>
      <c r="C48" s="38" t="s">
        <v>0</v>
      </c>
      <c r="D48" s="36">
        <v>38218</v>
      </c>
      <c r="E48" s="46"/>
      <c r="F48" s="19"/>
      <c r="G48" s="19"/>
      <c r="H48" s="19"/>
      <c r="I48" s="20">
        <v>1.8</v>
      </c>
      <c r="J48" s="20">
        <v>22.4</v>
      </c>
      <c r="K48" s="19">
        <v>5.75</v>
      </c>
      <c r="L48" s="20">
        <v>85</v>
      </c>
      <c r="M48" s="20"/>
      <c r="O48" s="40"/>
      <c r="R48" s="20"/>
      <c r="S48" s="19">
        <v>0.7255293518470517</v>
      </c>
      <c r="T48" s="19">
        <v>1.5551939196683455</v>
      </c>
      <c r="U48" s="16">
        <f t="shared" si="0"/>
        <v>2.1772714875356838E-2</v>
      </c>
      <c r="V48" s="19">
        <v>0.2263431483191409</v>
      </c>
      <c r="W48" s="16">
        <f t="shared" si="1"/>
        <v>3.1688040764679729E-3</v>
      </c>
      <c r="X48" s="19">
        <v>1.7815370679874865</v>
      </c>
      <c r="Y48" s="19"/>
      <c r="Z48" s="19">
        <v>20.108762846322712</v>
      </c>
      <c r="AA48" s="19">
        <v>7.3041714285714274</v>
      </c>
      <c r="AB48" s="19">
        <v>2.6449085714285712</v>
      </c>
      <c r="AC48" s="19">
        <v>9.9490799999999986</v>
      </c>
      <c r="AD48" s="19"/>
      <c r="AE48" s="19">
        <v>0.73415546247205055</v>
      </c>
      <c r="AF48" s="19">
        <v>74.195986960351291</v>
      </c>
      <c r="AG48" s="19">
        <v>11.863163382728207</v>
      </c>
      <c r="AH48" s="19">
        <v>21.890299914310198</v>
      </c>
      <c r="AI48" s="39">
        <v>0.30646419880034276</v>
      </c>
      <c r="AJ48" s="19"/>
      <c r="AK48" s="5">
        <f t="shared" si="2"/>
        <v>0.47254848615853773</v>
      </c>
      <c r="AL48" s="39"/>
      <c r="AM48" s="19">
        <v>6.2543172142747832</v>
      </c>
      <c r="AO48" s="19">
        <f t="shared" si="3"/>
        <v>23.671836982297684</v>
      </c>
      <c r="AP48" s="39">
        <f t="shared" si="4"/>
        <v>0.33140571775216759</v>
      </c>
    </row>
    <row r="49" spans="1:42" s="38" customFormat="1">
      <c r="A49" s="61">
        <v>3</v>
      </c>
      <c r="B49" s="38" t="s">
        <v>43</v>
      </c>
      <c r="C49" s="38" t="s">
        <v>0</v>
      </c>
      <c r="D49" s="36">
        <v>38237</v>
      </c>
      <c r="E49" s="46">
        <v>0.34027777777777773</v>
      </c>
      <c r="F49" s="19">
        <v>2.9</v>
      </c>
      <c r="G49" s="19">
        <v>1.75</v>
      </c>
      <c r="H49" s="19"/>
      <c r="I49" s="20">
        <v>0.5</v>
      </c>
      <c r="J49" s="20">
        <v>21.2</v>
      </c>
      <c r="K49" s="19">
        <v>6.08</v>
      </c>
      <c r="L49" s="20">
        <v>83.5</v>
      </c>
      <c r="M49" s="20"/>
      <c r="N49" s="38" t="s">
        <v>51</v>
      </c>
      <c r="O49" s="40">
        <v>1</v>
      </c>
      <c r="P49" s="38" t="s">
        <v>59</v>
      </c>
      <c r="Q49" s="38" t="s">
        <v>49</v>
      </c>
      <c r="R49" s="20">
        <v>32</v>
      </c>
      <c r="S49" s="19">
        <v>0.11915887850467283</v>
      </c>
      <c r="T49" s="19">
        <v>0.93763997960224632</v>
      </c>
      <c r="U49" s="16">
        <f t="shared" si="0"/>
        <v>1.3126959714431449E-2</v>
      </c>
      <c r="V49" s="19">
        <v>1.2725282993057692</v>
      </c>
      <c r="W49" s="16">
        <f t="shared" si="1"/>
        <v>1.7815396190280768E-2</v>
      </c>
      <c r="X49" s="19">
        <v>2.2101682789080153</v>
      </c>
      <c r="Y49" s="19"/>
      <c r="Z49" s="19">
        <v>77.462189276220016</v>
      </c>
      <c r="AA49" s="19">
        <v>10.061280000000002</v>
      </c>
      <c r="AB49" s="19">
        <v>0.05</v>
      </c>
      <c r="AC49" s="19">
        <v>11.1</v>
      </c>
      <c r="AD49" s="19"/>
      <c r="AE49" s="19">
        <v>1</v>
      </c>
      <c r="AF49" s="19">
        <v>79.212867040204799</v>
      </c>
      <c r="AG49" s="19">
        <v>12.266164655166129</v>
      </c>
      <c r="AH49" s="19">
        <v>79.672357555128031</v>
      </c>
      <c r="AI49" s="39">
        <v>1.1154130057717924</v>
      </c>
      <c r="AJ49" s="19"/>
      <c r="AK49" s="5">
        <f t="shared" si="2"/>
        <v>1.2871393109441183</v>
      </c>
      <c r="AL49" s="39"/>
      <c r="AM49" s="19">
        <v>6.4578349685565968</v>
      </c>
      <c r="AO49" s="19">
        <f t="shared" si="3"/>
        <v>81.882525834036045</v>
      </c>
      <c r="AP49" s="39">
        <f t="shared" si="4"/>
        <v>1.1463553616765048</v>
      </c>
    </row>
    <row r="50" spans="1:42" s="38" customFormat="1">
      <c r="A50" s="61">
        <v>3</v>
      </c>
      <c r="B50" s="38" t="s">
        <v>44</v>
      </c>
      <c r="C50" s="38" t="s">
        <v>0</v>
      </c>
      <c r="D50" s="36">
        <v>38237</v>
      </c>
      <c r="E50" s="46">
        <v>0.34375</v>
      </c>
      <c r="F50" s="19"/>
      <c r="G50" s="19"/>
      <c r="H50" s="16">
        <f>SUM(G39:G50)/6</f>
        <v>1.5208333333333333</v>
      </c>
      <c r="I50" s="20">
        <v>2.4</v>
      </c>
      <c r="J50" s="20">
        <v>21</v>
      </c>
      <c r="K50" s="19">
        <v>5.29</v>
      </c>
      <c r="L50" s="20">
        <v>72.3</v>
      </c>
      <c r="M50" s="17">
        <f>SUM(K39:K50)/12</f>
        <v>5.5983333333333327</v>
      </c>
      <c r="O50" s="40"/>
      <c r="R50" s="20"/>
      <c r="S50" s="19">
        <v>0.46261682242990654</v>
      </c>
      <c r="T50" s="19">
        <v>0.72226007139214943</v>
      </c>
      <c r="U50" s="16">
        <f t="shared" si="0"/>
        <v>1.0111640999490093E-2</v>
      </c>
      <c r="V50" s="19">
        <v>0.44121268082486914</v>
      </c>
      <c r="W50" s="16">
        <f t="shared" si="1"/>
        <v>6.1769775315481685E-3</v>
      </c>
      <c r="X50" s="19">
        <v>1.1634727522170185</v>
      </c>
      <c r="Y50" s="16">
        <f>SUM(X39:X50)/12</f>
        <v>2.5674858060296679</v>
      </c>
      <c r="Z50" s="19">
        <v>19.923485259779554</v>
      </c>
      <c r="AA50" s="19">
        <v>10.708542857142858</v>
      </c>
      <c r="AB50" s="19">
        <v>1.2948171428571449</v>
      </c>
      <c r="AC50" s="19">
        <v>12.003360000000002</v>
      </c>
      <c r="AD50" s="16">
        <f>SUM(AC39:AC50)/12</f>
        <v>10.885719583333334</v>
      </c>
      <c r="AE50" s="19">
        <v>0.89212877537146729</v>
      </c>
      <c r="AF50" s="19">
        <v>73.38521793365733</v>
      </c>
      <c r="AG50" s="19">
        <v>11.281423582977535</v>
      </c>
      <c r="AH50" s="19">
        <v>21.086958011996572</v>
      </c>
      <c r="AI50" s="39">
        <v>0.295217412167952</v>
      </c>
      <c r="AJ50" s="16">
        <f>SUM(AI39:AI50)/12</f>
        <v>0.71404736975272531</v>
      </c>
      <c r="AK50" s="5">
        <f t="shared" si="2"/>
        <v>0.45315734232963756</v>
      </c>
      <c r="AL50" s="5">
        <f>SUM(AK39:AK50)/12</f>
        <v>0.90704405306159941</v>
      </c>
      <c r="AM50" s="19">
        <v>6.5049607785659074</v>
      </c>
      <c r="AO50" s="19">
        <f t="shared" si="3"/>
        <v>22.25043076421359</v>
      </c>
      <c r="AP50" s="39">
        <f t="shared" si="4"/>
        <v>0.31150603069899024</v>
      </c>
    </row>
    <row r="51" spans="1:42" s="38" customFormat="1">
      <c r="A51" s="45">
        <v>3</v>
      </c>
      <c r="B51" s="47" t="s">
        <v>43</v>
      </c>
      <c r="C51" s="45" t="s">
        <v>0</v>
      </c>
      <c r="D51" s="62">
        <v>38517</v>
      </c>
      <c r="E51" s="63"/>
      <c r="F51" s="64">
        <v>3.2</v>
      </c>
      <c r="G51" s="19">
        <v>1.2</v>
      </c>
      <c r="H51" s="19"/>
      <c r="I51" s="21">
        <v>0.5</v>
      </c>
      <c r="J51" s="21">
        <v>21.3</v>
      </c>
      <c r="K51" s="22">
        <v>7.18</v>
      </c>
      <c r="L51" s="21">
        <v>92.6</v>
      </c>
      <c r="M51" s="20"/>
      <c r="N51" s="19"/>
      <c r="O51" s="40"/>
      <c r="R51" s="21">
        <v>28.9</v>
      </c>
      <c r="S51" s="22">
        <v>0.12709677419354834</v>
      </c>
      <c r="T51" s="22">
        <v>0.86391807539373877</v>
      </c>
      <c r="U51" s="19">
        <f t="shared" si="0"/>
        <v>1.2094853055512344E-2</v>
      </c>
      <c r="V51" s="22">
        <v>0.05</v>
      </c>
      <c r="W51" s="19">
        <f t="shared" si="1"/>
        <v>7.000000000000001E-4</v>
      </c>
      <c r="X51" s="22">
        <v>0.88891807539373879</v>
      </c>
      <c r="Y51" s="19"/>
      <c r="Z51" s="22">
        <v>20.51077192460626</v>
      </c>
      <c r="AA51" s="22">
        <v>23.293545714285724</v>
      </c>
      <c r="AB51" s="22" t="s">
        <v>60</v>
      </c>
      <c r="AC51" s="22">
        <v>23.318545714285722</v>
      </c>
      <c r="AD51" s="19"/>
      <c r="AE51" s="22">
        <v>1</v>
      </c>
      <c r="AF51" s="22">
        <v>139.14979066106247</v>
      </c>
      <c r="AG51" s="22">
        <v>17.021623969534428</v>
      </c>
      <c r="AH51" s="22">
        <v>37.532395894140691</v>
      </c>
      <c r="AI51" s="39">
        <f>AH51*0.014</f>
        <v>0.52545354251796972</v>
      </c>
      <c r="AJ51" s="19"/>
      <c r="AK51" s="5">
        <f t="shared" si="2"/>
        <v>0.53789839557348196</v>
      </c>
      <c r="AL51" s="39"/>
      <c r="AM51" s="22">
        <v>8.174883366599742</v>
      </c>
      <c r="AO51" s="19">
        <f t="shared" si="3"/>
        <v>38.421313969534431</v>
      </c>
      <c r="AP51" s="39">
        <f t="shared" si="4"/>
        <v>0.53789839557348207</v>
      </c>
    </row>
    <row r="52" spans="1:42" s="38" customFormat="1">
      <c r="A52" s="45">
        <v>3</v>
      </c>
      <c r="B52" s="47" t="s">
        <v>44</v>
      </c>
      <c r="C52" s="45" t="s">
        <v>0</v>
      </c>
      <c r="D52" s="62">
        <v>38517</v>
      </c>
      <c r="E52" s="63"/>
      <c r="F52" s="64"/>
      <c r="G52" s="19"/>
      <c r="H52" s="19"/>
      <c r="I52" s="21">
        <v>2.8</v>
      </c>
      <c r="J52" s="21">
        <v>20.8</v>
      </c>
      <c r="K52" s="22">
        <v>5.1100000000000003</v>
      </c>
      <c r="L52" s="21">
        <v>70.099999999999994</v>
      </c>
      <c r="M52" s="20"/>
      <c r="N52" s="19"/>
      <c r="O52" s="40"/>
      <c r="R52" s="21">
        <v>29.5</v>
      </c>
      <c r="S52" s="22">
        <v>0.54163614074476318</v>
      </c>
      <c r="T52" s="22">
        <v>4.2934313703711933</v>
      </c>
      <c r="U52" s="19">
        <f t="shared" si="0"/>
        <v>6.0108039185196707E-2</v>
      </c>
      <c r="V52" s="22">
        <v>0.4001486620416253</v>
      </c>
      <c r="W52" s="19">
        <f t="shared" si="1"/>
        <v>5.6020812685827542E-3</v>
      </c>
      <c r="X52" s="22">
        <v>4.693580032412819</v>
      </c>
      <c r="Y52" s="19"/>
      <c r="Z52" s="22">
        <v>48.972806035682602</v>
      </c>
      <c r="AA52" s="22">
        <v>14.265987142857149</v>
      </c>
      <c r="AB52" s="22">
        <v>0.90406091703868519</v>
      </c>
      <c r="AC52" s="22">
        <v>15.170048059895834</v>
      </c>
      <c r="AD52" s="19"/>
      <c r="AE52" s="22">
        <v>0.9404048745614263</v>
      </c>
      <c r="AF52" s="22">
        <v>91.456828868815364</v>
      </c>
      <c r="AG52" s="22">
        <v>15.989543964855566</v>
      </c>
      <c r="AH52" s="22">
        <v>64.962350000538166</v>
      </c>
      <c r="AI52" s="39">
        <f t="shared" ref="AI52:AI115" si="5">AH52*0.014</f>
        <v>0.90947290000753434</v>
      </c>
      <c r="AJ52" s="19"/>
      <c r="AK52" s="5">
        <f t="shared" si="2"/>
        <v>0.97518302046131389</v>
      </c>
      <c r="AL52" s="39"/>
      <c r="AM52" s="22">
        <v>5.7197896994332131</v>
      </c>
      <c r="AO52" s="19">
        <f t="shared" si="3"/>
        <v>69.655930032950991</v>
      </c>
      <c r="AP52" s="39">
        <f t="shared" si="4"/>
        <v>0.97518302046131389</v>
      </c>
    </row>
    <row r="53" spans="1:42" s="38" customFormat="1">
      <c r="A53" s="45">
        <v>3</v>
      </c>
      <c r="B53" s="47" t="s">
        <v>43</v>
      </c>
      <c r="C53" s="45" t="s">
        <v>0</v>
      </c>
      <c r="D53" s="62">
        <v>38546</v>
      </c>
      <c r="E53" s="63"/>
      <c r="F53" s="19">
        <v>3</v>
      </c>
      <c r="G53" s="19">
        <v>1.3</v>
      </c>
      <c r="H53" s="19"/>
      <c r="I53" s="47">
        <v>0.5</v>
      </c>
      <c r="J53" s="21">
        <v>22</v>
      </c>
      <c r="K53" s="22">
        <v>6.7</v>
      </c>
      <c r="L53" s="21">
        <v>92</v>
      </c>
      <c r="M53" s="20"/>
      <c r="N53" s="19"/>
      <c r="O53" s="40"/>
      <c r="R53" s="47">
        <v>29.7</v>
      </c>
      <c r="S53" s="22">
        <v>7.3838319541693065E-2</v>
      </c>
      <c r="T53" s="22">
        <v>0.3866530735033582</v>
      </c>
      <c r="U53" s="19">
        <f t="shared" si="0"/>
        <v>5.4131430290470153E-3</v>
      </c>
      <c r="V53" s="22">
        <v>0.36750495540138745</v>
      </c>
      <c r="W53" s="19">
        <f t="shared" si="1"/>
        <v>5.145069375619424E-3</v>
      </c>
      <c r="X53" s="22">
        <v>0.75415802890474559</v>
      </c>
      <c r="Y53" s="19"/>
      <c r="Z53" s="22">
        <v>21.492235316312126</v>
      </c>
      <c r="AA53" s="22">
        <v>14.396947857142859</v>
      </c>
      <c r="AB53" s="22">
        <v>0.4430792027529733</v>
      </c>
      <c r="AC53" s="22">
        <v>14.840027059895831</v>
      </c>
      <c r="AD53" s="19"/>
      <c r="AE53" s="22">
        <v>0.97014296530830701</v>
      </c>
      <c r="AF53" s="22">
        <v>99.379612243512867</v>
      </c>
      <c r="AG53" s="22">
        <v>16.845312276663869</v>
      </c>
      <c r="AH53" s="22">
        <v>38.337547592975994</v>
      </c>
      <c r="AI53" s="39">
        <f t="shared" si="5"/>
        <v>0.53672566630166396</v>
      </c>
      <c r="AJ53" s="19"/>
      <c r="AK53" s="5">
        <f t="shared" si="2"/>
        <v>0.54728387870633044</v>
      </c>
      <c r="AL53" s="39"/>
      <c r="AM53" s="22">
        <v>5.8995411074204505</v>
      </c>
      <c r="AO53" s="19">
        <f t="shared" si="3"/>
        <v>39.091705621880742</v>
      </c>
      <c r="AP53" s="39">
        <f t="shared" si="4"/>
        <v>0.54728387870633044</v>
      </c>
    </row>
    <row r="54" spans="1:42" s="38" customFormat="1">
      <c r="A54" s="45">
        <v>3</v>
      </c>
      <c r="B54" s="47" t="s">
        <v>44</v>
      </c>
      <c r="C54" s="45" t="s">
        <v>0</v>
      </c>
      <c r="D54" s="62">
        <v>38546</v>
      </c>
      <c r="E54" s="63"/>
      <c r="F54" s="19"/>
      <c r="G54" s="19"/>
      <c r="H54" s="19"/>
      <c r="I54" s="47">
        <v>1.5</v>
      </c>
      <c r="J54" s="21">
        <v>22</v>
      </c>
      <c r="K54" s="22">
        <v>6.6</v>
      </c>
      <c r="L54" s="21">
        <v>93</v>
      </c>
      <c r="M54" s="20"/>
      <c r="N54" s="19"/>
      <c r="O54" s="40"/>
      <c r="R54" s="47">
        <v>29.1</v>
      </c>
      <c r="S54" s="22">
        <v>0.35741565881604076</v>
      </c>
      <c r="T54" s="22">
        <v>0.21180265400942511</v>
      </c>
      <c r="U54" s="19">
        <f t="shared" si="0"/>
        <v>2.9652371561319515E-3</v>
      </c>
      <c r="V54" s="22">
        <v>0.24324826560951435</v>
      </c>
      <c r="W54" s="19">
        <f t="shared" si="1"/>
        <v>3.4054757185332011E-3</v>
      </c>
      <c r="X54" s="22">
        <v>0.45505091961893945</v>
      </c>
      <c r="Y54" s="19"/>
      <c r="Z54" s="22">
        <v>28.713505230113679</v>
      </c>
      <c r="AA54" s="22">
        <v>10.861008571428572</v>
      </c>
      <c r="AB54" s="22">
        <v>1.2043974884672655</v>
      </c>
      <c r="AC54" s="22">
        <v>12.065406059895837</v>
      </c>
      <c r="AD54" s="19"/>
      <c r="AE54" s="22">
        <v>0.90017762498101428</v>
      </c>
      <c r="AF54" s="22">
        <v>87.27870378881812</v>
      </c>
      <c r="AG54" s="22">
        <v>14.908400422747894</v>
      </c>
      <c r="AH54" s="22">
        <v>43.621905652861571</v>
      </c>
      <c r="AI54" s="39">
        <f t="shared" si="5"/>
        <v>0.61070667914006205</v>
      </c>
      <c r="AJ54" s="19"/>
      <c r="AK54" s="5">
        <f t="shared" si="2"/>
        <v>0.61707739201472722</v>
      </c>
      <c r="AL54" s="39"/>
      <c r="AM54" s="22">
        <v>5.854330532713921</v>
      </c>
      <c r="AO54" s="19">
        <f t="shared" si="3"/>
        <v>44.076956572480512</v>
      </c>
      <c r="AP54" s="39">
        <f t="shared" si="4"/>
        <v>0.61707739201472722</v>
      </c>
    </row>
    <row r="55" spans="1:42" s="38" customFormat="1">
      <c r="A55" s="45">
        <v>3</v>
      </c>
      <c r="B55" s="47" t="s">
        <v>43</v>
      </c>
      <c r="C55" s="45" t="s">
        <v>0</v>
      </c>
      <c r="D55" s="62">
        <v>38559</v>
      </c>
      <c r="E55" s="63"/>
      <c r="F55" s="64"/>
      <c r="G55" s="19"/>
      <c r="H55" s="19"/>
      <c r="I55" s="21">
        <v>0.5</v>
      </c>
      <c r="J55" s="21">
        <v>23</v>
      </c>
      <c r="K55" s="22">
        <v>4.59</v>
      </c>
      <c r="L55" s="21">
        <v>62.7</v>
      </c>
      <c r="M55" s="20"/>
      <c r="N55" s="19"/>
      <c r="O55" s="40"/>
      <c r="R55" s="47">
        <v>29.7</v>
      </c>
      <c r="S55" s="22">
        <v>0.17499999999999999</v>
      </c>
      <c r="T55" s="22">
        <v>0.87414989463768822</v>
      </c>
      <c r="U55" s="19">
        <f t="shared" si="0"/>
        <v>1.2238098524927635E-2</v>
      </c>
      <c r="V55" s="22">
        <v>0.32117195242814661</v>
      </c>
      <c r="W55" s="19">
        <f t="shared" si="1"/>
        <v>4.4964073339940529E-3</v>
      </c>
      <c r="X55" s="22">
        <v>1.1953218470658349</v>
      </c>
      <c r="Y55" s="19"/>
      <c r="Z55" s="22">
        <v>51.463711891151469</v>
      </c>
      <c r="AA55" s="22">
        <v>11.973679163050965</v>
      </c>
      <c r="AB55" s="22">
        <v>1.1784308093609024</v>
      </c>
      <c r="AC55" s="22">
        <v>13.152109972411868</v>
      </c>
      <c r="AD55" s="19"/>
      <c r="AE55" s="22">
        <v>0.91039986649801419</v>
      </c>
      <c r="AF55" s="22">
        <v>78.014222141486968</v>
      </c>
      <c r="AG55" s="22">
        <v>12.442634449519868</v>
      </c>
      <c r="AH55" s="22">
        <v>63.906346340671334</v>
      </c>
      <c r="AI55" s="39">
        <f t="shared" si="5"/>
        <v>0.89468884876939869</v>
      </c>
      <c r="AJ55" s="19"/>
      <c r="AK55" s="5">
        <f t="shared" si="2"/>
        <v>0.91142335462832047</v>
      </c>
      <c r="AL55" s="39"/>
      <c r="AM55" s="22">
        <v>6.2699119272524602</v>
      </c>
      <c r="AO55" s="19">
        <f t="shared" si="3"/>
        <v>65.101668187737175</v>
      </c>
      <c r="AP55" s="39">
        <f t="shared" si="4"/>
        <v>0.91142335462832047</v>
      </c>
    </row>
    <row r="56" spans="1:42" s="38" customFormat="1">
      <c r="A56" s="45">
        <v>3</v>
      </c>
      <c r="B56" s="47" t="s">
        <v>44</v>
      </c>
      <c r="C56" s="45" t="s">
        <v>0</v>
      </c>
      <c r="D56" s="62">
        <v>38559</v>
      </c>
      <c r="E56" s="63"/>
      <c r="F56" s="64">
        <v>2.6</v>
      </c>
      <c r="G56" s="19">
        <v>1.3</v>
      </c>
      <c r="H56" s="19"/>
      <c r="I56" s="21">
        <v>1.3</v>
      </c>
      <c r="J56" s="21">
        <v>23</v>
      </c>
      <c r="K56" s="22">
        <v>4.8499999999999996</v>
      </c>
      <c r="L56" s="21">
        <v>67</v>
      </c>
      <c r="M56" s="20"/>
      <c r="N56" s="19"/>
      <c r="O56" s="40"/>
      <c r="R56" s="47">
        <v>29.8</v>
      </c>
      <c r="S56" s="22">
        <v>0.3</v>
      </c>
      <c r="T56" s="22">
        <v>1.6500793770021893</v>
      </c>
      <c r="U56" s="19">
        <f t="shared" si="0"/>
        <v>2.3101111278030651E-2</v>
      </c>
      <c r="V56" s="22">
        <v>0.18217294350842414</v>
      </c>
      <c r="W56" s="19">
        <f t="shared" si="1"/>
        <v>2.550421209117938E-3</v>
      </c>
      <c r="X56" s="22">
        <v>1.8322523205106134</v>
      </c>
      <c r="Y56" s="19"/>
      <c r="Z56" s="22">
        <v>14.175281844670609</v>
      </c>
      <c r="AA56" s="22">
        <v>14.662954696998241</v>
      </c>
      <c r="AB56" s="22">
        <v>2.3647534868658568</v>
      </c>
      <c r="AC56" s="22">
        <v>17.0277081838641</v>
      </c>
      <c r="AD56" s="19"/>
      <c r="AE56" s="22">
        <v>0.86112320804823517</v>
      </c>
      <c r="AF56" s="22">
        <v>100.61227069001643</v>
      </c>
      <c r="AG56" s="22">
        <v>17.035281636578425</v>
      </c>
      <c r="AH56" s="22">
        <v>31.210563481249032</v>
      </c>
      <c r="AI56" s="39">
        <f t="shared" si="5"/>
        <v>0.43694788873748647</v>
      </c>
      <c r="AJ56" s="19"/>
      <c r="AK56" s="5">
        <f t="shared" si="2"/>
        <v>0.46259942122463504</v>
      </c>
      <c r="AL56" s="39"/>
      <c r="AM56" s="22">
        <v>5.9061113773417269</v>
      </c>
      <c r="AO56" s="19">
        <f t="shared" si="3"/>
        <v>33.042815801759645</v>
      </c>
      <c r="AP56" s="39">
        <f t="shared" si="4"/>
        <v>0.46259942122463504</v>
      </c>
    </row>
    <row r="57" spans="1:42" s="38" customFormat="1">
      <c r="A57" s="45">
        <v>3</v>
      </c>
      <c r="B57" s="47" t="s">
        <v>43</v>
      </c>
      <c r="C57" s="45" t="s">
        <v>0</v>
      </c>
      <c r="D57" s="62">
        <v>38574</v>
      </c>
      <c r="E57" s="63"/>
      <c r="F57" s="64">
        <v>2.6</v>
      </c>
      <c r="G57" s="19">
        <v>1.6</v>
      </c>
      <c r="H57" s="19"/>
      <c r="I57" s="21">
        <v>0.5</v>
      </c>
      <c r="J57" s="21">
        <v>25</v>
      </c>
      <c r="K57" s="22">
        <v>4.3</v>
      </c>
      <c r="L57" s="21">
        <v>61.3</v>
      </c>
      <c r="M57" s="20"/>
      <c r="N57" s="19"/>
      <c r="O57" s="40"/>
      <c r="R57" s="21">
        <v>29.5</v>
      </c>
      <c r="S57" s="22">
        <v>0.87126442953020133</v>
      </c>
      <c r="T57" s="22">
        <v>3.106020543884108</v>
      </c>
      <c r="U57" s="19">
        <f t="shared" si="0"/>
        <v>4.3484287614377511E-2</v>
      </c>
      <c r="V57" s="22">
        <v>1.0846134786917738</v>
      </c>
      <c r="W57" s="19">
        <f t="shared" si="1"/>
        <v>1.5184588701684834E-2</v>
      </c>
      <c r="X57" s="22">
        <v>4.1906340225758818</v>
      </c>
      <c r="Y57" s="19"/>
      <c r="Z57" s="22">
        <v>32.405135436722986</v>
      </c>
      <c r="AA57" s="22">
        <v>13.190256190312827</v>
      </c>
      <c r="AB57" s="22">
        <v>5.3092700826511656</v>
      </c>
      <c r="AC57" s="22">
        <v>18.49952627296399</v>
      </c>
      <c r="AD57" s="19"/>
      <c r="AE57" s="22">
        <v>0.71300507892408238</v>
      </c>
      <c r="AF57" s="22">
        <v>98.888452531816384</v>
      </c>
      <c r="AG57" s="22">
        <v>17.232542914436667</v>
      </c>
      <c r="AH57" s="22">
        <v>49.63767835115965</v>
      </c>
      <c r="AI57" s="39">
        <f t="shared" si="5"/>
        <v>0.69492749691623512</v>
      </c>
      <c r="AJ57" s="19"/>
      <c r="AK57" s="5">
        <f t="shared" si="2"/>
        <v>0.75359637323229745</v>
      </c>
      <c r="AL57" s="39"/>
      <c r="AM57" s="22">
        <v>5.7384712762834313</v>
      </c>
      <c r="AO57" s="19">
        <f t="shared" si="3"/>
        <v>53.828312373735528</v>
      </c>
      <c r="AP57" s="39">
        <f t="shared" si="4"/>
        <v>0.75359637323229745</v>
      </c>
    </row>
    <row r="58" spans="1:42" s="38" customFormat="1">
      <c r="A58" s="45">
        <v>3</v>
      </c>
      <c r="B58" s="47" t="s">
        <v>44</v>
      </c>
      <c r="C58" s="45" t="s">
        <v>0</v>
      </c>
      <c r="D58" s="62">
        <v>38574</v>
      </c>
      <c r="E58" s="63"/>
      <c r="F58" s="64"/>
      <c r="G58" s="19"/>
      <c r="H58" s="19"/>
      <c r="I58" s="21">
        <v>2.1</v>
      </c>
      <c r="J58" s="21">
        <v>25</v>
      </c>
      <c r="K58" s="22">
        <v>3.87</v>
      </c>
      <c r="L58" s="21">
        <v>54</v>
      </c>
      <c r="M58" s="20"/>
      <c r="N58" s="19"/>
      <c r="O58" s="40"/>
      <c r="R58" s="21">
        <v>29.8</v>
      </c>
      <c r="S58" s="22">
        <v>0.84550067114093963</v>
      </c>
      <c r="T58" s="22">
        <v>2.6344887265035335</v>
      </c>
      <c r="U58" s="19">
        <f t="shared" si="0"/>
        <v>3.6882842171049472E-2</v>
      </c>
      <c r="V58" s="22">
        <v>0.61180599999999996</v>
      </c>
      <c r="W58" s="19">
        <f t="shared" si="1"/>
        <v>8.5652839999999994E-3</v>
      </c>
      <c r="X58" s="22">
        <v>3.2462947265035336</v>
      </c>
      <c r="Y58" s="19"/>
      <c r="Z58" s="22">
        <v>18.376215273496463</v>
      </c>
      <c r="AA58" s="22">
        <v>10.264868667521966</v>
      </c>
      <c r="AB58" s="22">
        <v>5.2285117786704269</v>
      </c>
      <c r="AC58" s="22">
        <v>15.493380446192393</v>
      </c>
      <c r="AD58" s="19"/>
      <c r="AE58" s="22">
        <v>0.66253253789069833</v>
      </c>
      <c r="AF58" s="22">
        <v>98.888452531816384</v>
      </c>
      <c r="AG58" s="22">
        <v>17.232542914436667</v>
      </c>
      <c r="AH58" s="22">
        <v>35.608758187933134</v>
      </c>
      <c r="AI58" s="39">
        <f t="shared" si="5"/>
        <v>0.4985226146310639</v>
      </c>
      <c r="AJ58" s="19"/>
      <c r="AK58" s="5">
        <f t="shared" si="2"/>
        <v>0.54397074080211338</v>
      </c>
      <c r="AL58" s="39"/>
      <c r="AM58" s="22">
        <v>5.7384712762834313</v>
      </c>
      <c r="AO58" s="19">
        <f t="shared" si="3"/>
        <v>38.855052914436669</v>
      </c>
      <c r="AP58" s="39">
        <f t="shared" si="4"/>
        <v>0.54397074080211338</v>
      </c>
    </row>
    <row r="59" spans="1:42" s="38" customFormat="1">
      <c r="A59" s="45">
        <v>3</v>
      </c>
      <c r="B59" s="45" t="s">
        <v>44</v>
      </c>
      <c r="C59" s="45" t="s">
        <v>0</v>
      </c>
      <c r="D59" s="62">
        <v>38588</v>
      </c>
      <c r="E59" s="63"/>
      <c r="F59" s="64">
        <v>2.25</v>
      </c>
      <c r="G59" s="19">
        <v>1.42</v>
      </c>
      <c r="H59" s="19"/>
      <c r="I59" s="47">
        <v>1</v>
      </c>
      <c r="J59" s="21">
        <v>24</v>
      </c>
      <c r="K59" s="22">
        <v>7.32</v>
      </c>
      <c r="L59" s="21">
        <v>89.9</v>
      </c>
      <c r="M59" s="20"/>
      <c r="N59" s="19"/>
      <c r="O59" s="40"/>
      <c r="R59" s="21">
        <v>31.2</v>
      </c>
      <c r="S59" s="22">
        <v>0.94404337626598689</v>
      </c>
      <c r="T59" s="22">
        <v>0.75754443145345141</v>
      </c>
      <c r="U59" s="19">
        <f t="shared" si="0"/>
        <v>1.060562204034832E-2</v>
      </c>
      <c r="V59" s="22">
        <v>0.05</v>
      </c>
      <c r="W59" s="19">
        <f t="shared" si="1"/>
        <v>7.000000000000001E-4</v>
      </c>
      <c r="X59" s="22">
        <v>0.78254443145345143</v>
      </c>
      <c r="Y59" s="19"/>
      <c r="Z59" s="22">
        <v>14.957605568546548</v>
      </c>
      <c r="AA59" s="22">
        <v>10.645048988541298</v>
      </c>
      <c r="AB59" s="22">
        <v>1.2966468797073343</v>
      </c>
      <c r="AC59" s="22">
        <v>11.941695868248631</v>
      </c>
      <c r="AD59" s="19"/>
      <c r="AE59" s="22">
        <v>0.89141853100153523</v>
      </c>
      <c r="AF59" s="22">
        <v>79.421297436527851</v>
      </c>
      <c r="AG59" s="22">
        <v>13.50903857592373</v>
      </c>
      <c r="AH59" s="22">
        <v>28.46664414447028</v>
      </c>
      <c r="AI59" s="39">
        <f t="shared" si="5"/>
        <v>0.39853301802258395</v>
      </c>
      <c r="AJ59" s="19"/>
      <c r="AK59" s="5">
        <f t="shared" si="2"/>
        <v>0.40948864006293223</v>
      </c>
      <c r="AL59" s="39"/>
      <c r="AM59" s="22">
        <v>5.8791228546845069</v>
      </c>
      <c r="AO59" s="19">
        <f t="shared" si="3"/>
        <v>29.249188575923732</v>
      </c>
      <c r="AP59" s="39">
        <f t="shared" si="4"/>
        <v>0.40948864006293223</v>
      </c>
    </row>
    <row r="60" spans="1:42" s="38" customFormat="1">
      <c r="A60" s="45">
        <v>3</v>
      </c>
      <c r="B60" s="45" t="s">
        <v>44</v>
      </c>
      <c r="C60" s="45" t="s">
        <v>0</v>
      </c>
      <c r="D60" s="62">
        <v>38603</v>
      </c>
      <c r="E60" s="63"/>
      <c r="F60" s="64">
        <v>2.8</v>
      </c>
      <c r="G60" s="19">
        <v>1.45</v>
      </c>
      <c r="H60" s="16">
        <f>SUM(G51:G60)/6</f>
        <v>1.3783333333333332</v>
      </c>
      <c r="I60" s="47">
        <v>1.4</v>
      </c>
      <c r="J60" s="21">
        <v>21</v>
      </c>
      <c r="K60" s="22">
        <v>8.31</v>
      </c>
      <c r="L60" s="21">
        <v>95.7</v>
      </c>
      <c r="M60" s="17">
        <f>SUM(K51:K60)/10</f>
        <v>5.8829999999999991</v>
      </c>
      <c r="N60" s="19"/>
      <c r="O60" s="40"/>
      <c r="R60" s="21">
        <v>30.5</v>
      </c>
      <c r="S60" s="22">
        <v>0.54315956694122203</v>
      </c>
      <c r="T60" s="22">
        <v>1.8428076722379472</v>
      </c>
      <c r="U60" s="19">
        <f t="shared" si="0"/>
        <v>2.5799307411331261E-2</v>
      </c>
      <c r="V60" s="22">
        <v>0.31274777006937554</v>
      </c>
      <c r="W60" s="19">
        <f t="shared" si="1"/>
        <v>4.3784687809712581E-3</v>
      </c>
      <c r="X60" s="22">
        <v>2.1555554423073229</v>
      </c>
      <c r="Y60" s="16">
        <f>SUM(X51:X60)/10</f>
        <v>2.0194309846746883</v>
      </c>
      <c r="Z60" s="22">
        <v>25.824644557692679</v>
      </c>
      <c r="AA60" s="22">
        <v>14.222224321266971</v>
      </c>
      <c r="AB60" s="22">
        <v>0.46052072203660022</v>
      </c>
      <c r="AC60" s="22">
        <v>14.682745043303571</v>
      </c>
      <c r="AD60" s="16">
        <f>SUM(AC51:AC60)/10</f>
        <v>15.619119268095782</v>
      </c>
      <c r="AE60" s="22">
        <v>0.96863524356798447</v>
      </c>
      <c r="AF60" s="22">
        <v>110.91644084448764</v>
      </c>
      <c r="AG60" s="22">
        <v>17.470393112343931</v>
      </c>
      <c r="AH60" s="22">
        <v>43.295037670036606</v>
      </c>
      <c r="AI60" s="39">
        <f t="shared" si="5"/>
        <v>0.60613052738051254</v>
      </c>
      <c r="AJ60" s="16">
        <f>SUM(AI51:AI60)/10</f>
        <v>0.61121091824245111</v>
      </c>
      <c r="AK60" s="5">
        <f t="shared" si="2"/>
        <v>0.63630830357281509</v>
      </c>
      <c r="AL60" s="5">
        <f>SUM(AK51:AK60)/10</f>
        <v>0.63948295202789673</v>
      </c>
      <c r="AM60" s="22">
        <v>6.3488234140603392</v>
      </c>
      <c r="AO60" s="19">
        <f t="shared" si="3"/>
        <v>45.450593112343931</v>
      </c>
      <c r="AP60" s="39">
        <f t="shared" si="4"/>
        <v>0.63630830357281509</v>
      </c>
    </row>
    <row r="61" spans="1:42" s="38" customFormat="1">
      <c r="A61" s="38">
        <v>3</v>
      </c>
      <c r="B61" s="38" t="s">
        <v>43</v>
      </c>
      <c r="C61" s="45" t="s">
        <v>0</v>
      </c>
      <c r="D61" s="36">
        <v>38888</v>
      </c>
      <c r="E61" s="63"/>
      <c r="F61" s="19" t="s">
        <v>47</v>
      </c>
      <c r="G61" s="19">
        <v>1.4</v>
      </c>
      <c r="H61" s="16"/>
      <c r="I61" s="38">
        <v>3.6</v>
      </c>
      <c r="J61" s="20">
        <v>21.5</v>
      </c>
      <c r="K61" s="22">
        <v>5.9</v>
      </c>
      <c r="L61" s="21">
        <v>79</v>
      </c>
      <c r="M61" s="17"/>
      <c r="N61" s="19" t="s">
        <v>51</v>
      </c>
      <c r="O61" s="40">
        <v>2</v>
      </c>
      <c r="P61" s="38" t="s">
        <v>53</v>
      </c>
      <c r="Q61" s="38" t="s">
        <v>49</v>
      </c>
      <c r="R61" s="20">
        <v>29.3</v>
      </c>
      <c r="S61" s="29">
        <v>0.3</v>
      </c>
      <c r="T61" s="20">
        <v>1.0700064301163277</v>
      </c>
      <c r="U61" s="19">
        <f t="shared" si="0"/>
        <v>1.4980090021628588E-2</v>
      </c>
      <c r="V61" s="22">
        <v>0.10920000000000001</v>
      </c>
      <c r="W61" s="19">
        <f t="shared" si="1"/>
        <v>1.5288000000000001E-3</v>
      </c>
      <c r="X61" s="19">
        <v>1.1792064301163276</v>
      </c>
      <c r="Y61" s="16"/>
      <c r="Z61" s="19">
        <v>26.947293569883673</v>
      </c>
      <c r="AA61" s="19">
        <v>12.505889277108432</v>
      </c>
      <c r="AB61" s="19">
        <v>2.8109808291415677</v>
      </c>
      <c r="AC61" s="19">
        <v>15.316870106250001</v>
      </c>
      <c r="AD61" s="16"/>
      <c r="AE61" s="19">
        <v>0.81647811794169645</v>
      </c>
      <c r="AF61" s="19">
        <v>95.047517116450862</v>
      </c>
      <c r="AG61" s="19">
        <v>16.048996248858717</v>
      </c>
      <c r="AH61" s="19">
        <v>42.99628981874239</v>
      </c>
      <c r="AI61" s="39">
        <f t="shared" si="5"/>
        <v>0.60194805746239344</v>
      </c>
      <c r="AJ61" s="16"/>
      <c r="AK61" s="5">
        <f t="shared" si="2"/>
        <v>0.61845694748402213</v>
      </c>
      <c r="AL61" s="5"/>
      <c r="AM61" s="19">
        <v>5.9223340601883381</v>
      </c>
      <c r="AO61" s="19">
        <f t="shared" si="3"/>
        <v>44.175496248858721</v>
      </c>
      <c r="AP61" s="39">
        <f t="shared" si="4"/>
        <v>0.61845694748402213</v>
      </c>
    </row>
    <row r="62" spans="1:42" s="38" customFormat="1">
      <c r="A62" s="38">
        <v>3</v>
      </c>
      <c r="B62" s="38" t="s">
        <v>44</v>
      </c>
      <c r="C62" s="45" t="s">
        <v>0</v>
      </c>
      <c r="D62" s="36">
        <v>38888</v>
      </c>
      <c r="E62" s="63"/>
      <c r="F62" s="19" t="s">
        <v>47</v>
      </c>
      <c r="G62" s="19"/>
      <c r="H62" s="16"/>
      <c r="I62" s="38" t="s">
        <v>47</v>
      </c>
      <c r="J62" s="20">
        <v>21.5</v>
      </c>
      <c r="K62" s="22">
        <v>5.55</v>
      </c>
      <c r="L62" s="21">
        <v>78.5</v>
      </c>
      <c r="M62" s="17"/>
      <c r="N62" s="19"/>
      <c r="O62" s="40"/>
      <c r="R62" s="20">
        <v>29.5</v>
      </c>
      <c r="S62" s="29">
        <v>0.2</v>
      </c>
      <c r="T62" s="20">
        <v>2.1273708618304403</v>
      </c>
      <c r="U62" s="19">
        <f t="shared" si="0"/>
        <v>2.9783192065626164E-2</v>
      </c>
      <c r="V62" s="22">
        <v>0.24772497472194135</v>
      </c>
      <c r="W62" s="19">
        <f t="shared" si="1"/>
        <v>3.4681496461071788E-3</v>
      </c>
      <c r="X62" s="19">
        <v>2.3750958365523815</v>
      </c>
      <c r="Y62" s="16"/>
      <c r="Z62" s="19">
        <v>57.873604163447617</v>
      </c>
      <c r="AA62" s="19">
        <v>6.6138956024096371</v>
      </c>
      <c r="AB62" s="19">
        <v>4.9081767038403603</v>
      </c>
      <c r="AC62" s="19">
        <v>11.522072306249997</v>
      </c>
      <c r="AD62" s="16"/>
      <c r="AE62" s="19">
        <v>0.5740196230865533</v>
      </c>
      <c r="AF62" s="19">
        <v>97.869886522801323</v>
      </c>
      <c r="AG62" s="19">
        <v>13.782623877654251</v>
      </c>
      <c r="AH62" s="19">
        <v>71.656228041101869</v>
      </c>
      <c r="AI62" s="39">
        <f t="shared" si="5"/>
        <v>1.0031871925754261</v>
      </c>
      <c r="AJ62" s="16"/>
      <c r="AK62" s="5">
        <f t="shared" si="2"/>
        <v>1.0364385342871594</v>
      </c>
      <c r="AL62" s="5"/>
      <c r="AM62" s="19">
        <v>7.1009618626738877</v>
      </c>
      <c r="AO62" s="19">
        <f t="shared" si="3"/>
        <v>74.031323877654245</v>
      </c>
      <c r="AP62" s="39">
        <f t="shared" si="4"/>
        <v>1.0364385342871594</v>
      </c>
    </row>
    <row r="63" spans="1:42" s="38" customFormat="1">
      <c r="A63" s="38">
        <v>3</v>
      </c>
      <c r="B63" s="38" t="s">
        <v>43</v>
      </c>
      <c r="C63" s="45" t="s">
        <v>0</v>
      </c>
      <c r="D63" s="36">
        <v>38903</v>
      </c>
      <c r="E63" s="63"/>
      <c r="F63" s="19">
        <v>3</v>
      </c>
      <c r="G63" s="19">
        <v>1.2</v>
      </c>
      <c r="H63" s="16"/>
      <c r="I63" s="38">
        <v>0.5</v>
      </c>
      <c r="J63" s="20">
        <v>23.9</v>
      </c>
      <c r="K63" s="22">
        <f>(4.89+5.3)/2</f>
        <v>5.0949999999999998</v>
      </c>
      <c r="L63" s="21">
        <f>(67.3+68.6)/2</f>
        <v>67.949999999999989</v>
      </c>
      <c r="M63" s="17"/>
      <c r="N63" s="19" t="s">
        <v>51</v>
      </c>
      <c r="O63" s="40">
        <v>1</v>
      </c>
      <c r="P63" s="38" t="s">
        <v>53</v>
      </c>
      <c r="Q63" s="38" t="s">
        <v>57</v>
      </c>
      <c r="R63" s="20">
        <v>28.3</v>
      </c>
      <c r="S63" s="29">
        <v>0.4</v>
      </c>
      <c r="T63" s="20">
        <v>2.5644925630460835</v>
      </c>
      <c r="U63" s="19">
        <f t="shared" si="0"/>
        <v>3.5902895882645169E-2</v>
      </c>
      <c r="V63" s="22">
        <v>0.50960566228513648</v>
      </c>
      <c r="W63" s="19">
        <f t="shared" si="1"/>
        <v>7.1344792719919108E-3</v>
      </c>
      <c r="X63" s="19">
        <v>3.0740982253312201</v>
      </c>
      <c r="Y63" s="16"/>
      <c r="Z63" s="19">
        <v>44.462780544857537</v>
      </c>
      <c r="AA63" s="19">
        <v>11.876933227848101</v>
      </c>
      <c r="AB63" s="19">
        <v>12.136513904964403</v>
      </c>
      <c r="AC63" s="19">
        <v>24.013447132812502</v>
      </c>
      <c r="AD63" s="16"/>
      <c r="AE63" s="19">
        <v>0.49459509757843961</v>
      </c>
      <c r="AF63" s="19">
        <v>115.14514031212576</v>
      </c>
      <c r="AG63" s="19">
        <v>21.02379040727584</v>
      </c>
      <c r="AH63" s="19">
        <v>65.486570952133377</v>
      </c>
      <c r="AI63" s="39">
        <f t="shared" si="5"/>
        <v>0.91681199332986729</v>
      </c>
      <c r="AJ63" s="16"/>
      <c r="AK63" s="5">
        <f t="shared" si="2"/>
        <v>0.95984936848450442</v>
      </c>
      <c r="AL63" s="5"/>
      <c r="AM63" s="19">
        <v>5.4768972712112243</v>
      </c>
      <c r="AO63" s="19">
        <f t="shared" si="3"/>
        <v>68.560669177464604</v>
      </c>
      <c r="AP63" s="39">
        <f t="shared" si="4"/>
        <v>0.95984936848450442</v>
      </c>
    </row>
    <row r="64" spans="1:42" s="38" customFormat="1">
      <c r="A64" s="38">
        <v>3</v>
      </c>
      <c r="B64" s="38" t="s">
        <v>44</v>
      </c>
      <c r="C64" s="45" t="s">
        <v>0</v>
      </c>
      <c r="D64" s="36">
        <v>38903</v>
      </c>
      <c r="E64" s="63"/>
      <c r="F64" s="19"/>
      <c r="G64" s="19"/>
      <c r="H64" s="16"/>
      <c r="I64" s="38">
        <v>2.5</v>
      </c>
      <c r="J64" s="20">
        <v>23.9</v>
      </c>
      <c r="K64" s="22">
        <f>(3.33+3.88)/2</f>
        <v>3.605</v>
      </c>
      <c r="L64" s="21">
        <f>(46.7+49.9)/2</f>
        <v>48.3</v>
      </c>
      <c r="M64" s="17"/>
      <c r="N64" s="19"/>
      <c r="O64" s="40"/>
      <c r="R64" s="20">
        <v>28.7</v>
      </c>
      <c r="S64" s="29">
        <v>0.66279318457261005</v>
      </c>
      <c r="T64" s="20">
        <v>4.6134902545220768</v>
      </c>
      <c r="U64" s="19">
        <f t="shared" si="0"/>
        <v>6.4588863563309076E-2</v>
      </c>
      <c r="V64" s="22">
        <v>0.28564000000000001</v>
      </c>
      <c r="W64" s="19">
        <f t="shared" si="1"/>
        <v>3.9989600000000002E-3</v>
      </c>
      <c r="X64" s="19">
        <v>4.8991302545220767</v>
      </c>
      <c r="Y64" s="16"/>
      <c r="Z64" s="19">
        <v>31.837982024131357</v>
      </c>
      <c r="AA64" s="19">
        <v>3.4374797468354426</v>
      </c>
      <c r="AB64" s="19">
        <v>9.535972335977057</v>
      </c>
      <c r="AC64" s="19">
        <v>12.9734520828125</v>
      </c>
      <c r="AD64" s="16"/>
      <c r="AE64" s="19">
        <v>0.26496261171608193</v>
      </c>
      <c r="AF64" s="19">
        <v>88.350133510071473</v>
      </c>
      <c r="AG64" s="19">
        <v>13.946865021307532</v>
      </c>
      <c r="AH64" s="19">
        <v>45.784847045438887</v>
      </c>
      <c r="AI64" s="39">
        <f t="shared" si="5"/>
        <v>0.64098785863614449</v>
      </c>
      <c r="AJ64" s="16"/>
      <c r="AK64" s="5">
        <f t="shared" si="2"/>
        <v>0.70957568219945355</v>
      </c>
      <c r="AL64" s="5"/>
      <c r="AM64" s="19">
        <v>6.3347665138433067</v>
      </c>
      <c r="AO64" s="19">
        <f t="shared" si="3"/>
        <v>50.683977299960965</v>
      </c>
      <c r="AP64" s="39">
        <f t="shared" si="4"/>
        <v>0.70957568219945355</v>
      </c>
    </row>
    <row r="65" spans="1:42" s="38" customFormat="1">
      <c r="A65" s="38">
        <v>3</v>
      </c>
      <c r="B65" s="38" t="s">
        <v>43</v>
      </c>
      <c r="C65" s="45" t="s">
        <v>0</v>
      </c>
      <c r="D65" s="36">
        <v>38917</v>
      </c>
      <c r="E65" s="65">
        <v>0.31666666666666665</v>
      </c>
      <c r="F65" s="19">
        <v>3.4</v>
      </c>
      <c r="G65" s="19">
        <v>1.3</v>
      </c>
      <c r="H65" s="16"/>
      <c r="J65" s="20">
        <v>25.6</v>
      </c>
      <c r="K65" s="22">
        <f>(5.05+5.5)/2</f>
        <v>5.2750000000000004</v>
      </c>
      <c r="L65" s="21">
        <f>(47+79)/2</f>
        <v>63</v>
      </c>
      <c r="M65" s="17"/>
      <c r="N65" s="19" t="s">
        <v>55</v>
      </c>
      <c r="O65" s="40">
        <v>1</v>
      </c>
      <c r="P65" s="38" t="s">
        <v>52</v>
      </c>
      <c r="Q65" s="38" t="s">
        <v>49</v>
      </c>
      <c r="R65" s="20">
        <v>28.8</v>
      </c>
      <c r="S65" s="29">
        <v>0.59270484859796979</v>
      </c>
      <c r="T65" s="20">
        <v>1.9487669779007701</v>
      </c>
      <c r="U65" s="19">
        <f t="shared" si="0"/>
        <v>2.7282737690610782E-2</v>
      </c>
      <c r="V65" s="22">
        <v>0.75935288169868553</v>
      </c>
      <c r="W65" s="19">
        <f t="shared" si="1"/>
        <v>1.0630940343781597E-2</v>
      </c>
      <c r="X65" s="19">
        <v>2.7081198595994556</v>
      </c>
      <c r="Y65" s="16"/>
      <c r="Z65" s="19">
        <v>49.524753305500347</v>
      </c>
      <c r="AA65" s="19">
        <v>14.373813291139243</v>
      </c>
      <c r="AB65" s="19">
        <v>4.5607787401107576</v>
      </c>
      <c r="AC65" s="19">
        <v>18.934592031249998</v>
      </c>
      <c r="AD65" s="16"/>
      <c r="AE65" s="19">
        <v>0.75912981211406283</v>
      </c>
      <c r="AF65" s="19">
        <v>118.1915708347764</v>
      </c>
      <c r="AG65" s="19">
        <v>18.83549724680147</v>
      </c>
      <c r="AH65" s="19">
        <v>68.360250552301821</v>
      </c>
      <c r="AI65" s="39">
        <f t="shared" si="5"/>
        <v>0.95704350773222546</v>
      </c>
      <c r="AJ65" s="16"/>
      <c r="AK65" s="5">
        <f t="shared" si="2"/>
        <v>0.99495718576661785</v>
      </c>
      <c r="AL65" s="5"/>
      <c r="AM65" s="19">
        <v>6.2749376502309744</v>
      </c>
      <c r="AO65" s="19">
        <f t="shared" si="3"/>
        <v>71.06837041190127</v>
      </c>
      <c r="AP65" s="39">
        <f t="shared" si="4"/>
        <v>0.99495718576661785</v>
      </c>
    </row>
    <row r="66" spans="1:42" s="38" customFormat="1">
      <c r="A66" s="38">
        <v>3</v>
      </c>
      <c r="B66" s="38" t="s">
        <v>44</v>
      </c>
      <c r="C66" s="45" t="s">
        <v>0</v>
      </c>
      <c r="D66" s="36">
        <v>38917</v>
      </c>
      <c r="E66" s="66"/>
      <c r="F66" s="19"/>
      <c r="G66" s="19"/>
      <c r="H66" s="16"/>
      <c r="J66" s="20">
        <v>25.6</v>
      </c>
      <c r="K66" s="22">
        <f>(4.12+4.51)/2</f>
        <v>4.3149999999999995</v>
      </c>
      <c r="L66" s="21">
        <f>(54.1+64.5)/2</f>
        <v>59.3</v>
      </c>
      <c r="M66" s="17"/>
      <c r="N66" s="19"/>
      <c r="O66" s="40"/>
      <c r="R66" s="20">
        <v>29.2</v>
      </c>
      <c r="S66" s="29">
        <v>0.48613619721747614</v>
      </c>
      <c r="T66" s="20">
        <v>2.5324120569957502</v>
      </c>
      <c r="U66" s="19">
        <f t="shared" si="0"/>
        <v>3.5453768797940502E-2</v>
      </c>
      <c r="V66" s="22">
        <v>0.21031344792719919</v>
      </c>
      <c r="W66" s="19">
        <f t="shared" si="1"/>
        <v>2.9443882709807886E-3</v>
      </c>
      <c r="X66" s="19">
        <v>2.7427255049229493</v>
      </c>
      <c r="Y66" s="16"/>
      <c r="Z66" s="19">
        <v>27.281018414127452</v>
      </c>
      <c r="AA66" s="19">
        <v>9.6710981012658248</v>
      </c>
      <c r="AB66" s="19">
        <v>4.6524539299841789</v>
      </c>
      <c r="AC66" s="19">
        <v>14.323552031250003</v>
      </c>
      <c r="AD66" s="16"/>
      <c r="AE66" s="19">
        <v>0.67518853425227077</v>
      </c>
      <c r="AF66" s="19">
        <v>130.95849546693842</v>
      </c>
      <c r="AG66" s="19">
        <v>22.401728163881458</v>
      </c>
      <c r="AH66" s="19">
        <v>49.68274657800891</v>
      </c>
      <c r="AI66" s="39">
        <f t="shared" si="5"/>
        <v>0.69555845209212475</v>
      </c>
      <c r="AJ66" s="16"/>
      <c r="AK66" s="5">
        <f t="shared" si="2"/>
        <v>0.7339566091610461</v>
      </c>
      <c r="AL66" s="5"/>
      <c r="AM66" s="19">
        <v>5.8459103917743356</v>
      </c>
      <c r="AO66" s="19">
        <f t="shared" si="3"/>
        <v>52.425472082931861</v>
      </c>
      <c r="AP66" s="39">
        <f t="shared" si="4"/>
        <v>0.7339566091610461</v>
      </c>
    </row>
    <row r="67" spans="1:42" s="38" customFormat="1">
      <c r="A67" s="38">
        <v>3</v>
      </c>
      <c r="B67" s="38" t="s">
        <v>43</v>
      </c>
      <c r="C67" s="45" t="s">
        <v>0</v>
      </c>
      <c r="D67" s="36">
        <v>38931</v>
      </c>
      <c r="E67" s="65">
        <v>0.31597222222222221</v>
      </c>
      <c r="F67" s="19">
        <v>3.5</v>
      </c>
      <c r="G67" s="19">
        <v>1.4</v>
      </c>
      <c r="H67" s="16"/>
      <c r="J67" s="20">
        <v>26.6</v>
      </c>
      <c r="K67" s="22">
        <f>(3.25+3.48)/2</f>
        <v>3.3650000000000002</v>
      </c>
      <c r="L67" s="21">
        <f>(52.6+61.3)/2</f>
        <v>56.95</v>
      </c>
      <c r="M67" s="17"/>
      <c r="N67" s="19" t="s">
        <v>49</v>
      </c>
      <c r="O67" s="40">
        <v>0</v>
      </c>
      <c r="P67" s="38" t="s">
        <v>54</v>
      </c>
      <c r="Q67" s="38" t="s">
        <v>49</v>
      </c>
      <c r="R67" s="20">
        <v>29.7</v>
      </c>
      <c r="S67" s="29">
        <v>0.56686268104105431</v>
      </c>
      <c r="T67" s="20">
        <v>1.7953342953342966</v>
      </c>
      <c r="U67" s="19">
        <f t="shared" si="0"/>
        <v>2.5134680134680152E-2</v>
      </c>
      <c r="V67" s="22">
        <v>0.84378635129895296</v>
      </c>
      <c r="W67" s="19">
        <f t="shared" si="1"/>
        <v>1.1813008918185342E-2</v>
      </c>
      <c r="X67" s="19">
        <v>2.6391206466332493</v>
      </c>
      <c r="Y67" s="16"/>
      <c r="Z67" s="19">
        <v>28.872724586670568</v>
      </c>
      <c r="AA67" s="19">
        <v>11.480300949367088</v>
      </c>
      <c r="AB67" s="19">
        <v>8.9506312334454083</v>
      </c>
      <c r="AC67" s="19">
        <v>20.430932182812498</v>
      </c>
      <c r="AD67" s="16"/>
      <c r="AE67" s="19">
        <v>0.56190783889072271</v>
      </c>
      <c r="AF67" s="19">
        <v>112.37268650260499</v>
      </c>
      <c r="AG67" s="19">
        <v>18.625581600289319</v>
      </c>
      <c r="AH67" s="19">
        <v>47.498306186959887</v>
      </c>
      <c r="AI67" s="39">
        <f t="shared" si="5"/>
        <v>0.66497628661743846</v>
      </c>
      <c r="AJ67" s="16"/>
      <c r="AK67" s="5">
        <f t="shared" si="2"/>
        <v>0.70192397567030396</v>
      </c>
      <c r="AL67" s="5"/>
      <c r="AM67" s="19">
        <v>6.0332444330683055</v>
      </c>
      <c r="AO67" s="19">
        <f t="shared" si="3"/>
        <v>50.137426833593139</v>
      </c>
      <c r="AP67" s="39">
        <f t="shared" si="4"/>
        <v>0.70192397567030396</v>
      </c>
    </row>
    <row r="68" spans="1:42" s="38" customFormat="1">
      <c r="A68" s="38">
        <v>3</v>
      </c>
      <c r="B68" s="38" t="s">
        <v>44</v>
      </c>
      <c r="C68" s="45" t="s">
        <v>0</v>
      </c>
      <c r="D68" s="36">
        <v>38931</v>
      </c>
      <c r="E68" s="66"/>
      <c r="F68" s="19">
        <v>3.1</v>
      </c>
      <c r="G68" s="19"/>
      <c r="H68" s="16"/>
      <c r="J68" s="20">
        <v>26.5</v>
      </c>
      <c r="K68" s="22">
        <f>(1.8+1.9)/2</f>
        <v>1.85</v>
      </c>
      <c r="L68" s="21">
        <f>(28+36.3)/2</f>
        <v>32.15</v>
      </c>
      <c r="M68" s="17"/>
      <c r="N68" s="19"/>
      <c r="O68" s="40"/>
      <c r="R68" s="20">
        <v>30.3</v>
      </c>
      <c r="S68" s="29">
        <v>0.93008820646847445</v>
      </c>
      <c r="T68" s="20">
        <v>2.6833814333814345</v>
      </c>
      <c r="U68" s="19">
        <f t="shared" si="0"/>
        <v>3.7567340067340083E-2</v>
      </c>
      <c r="V68" s="22">
        <v>0.96999806126405574</v>
      </c>
      <c r="W68" s="19">
        <f t="shared" si="1"/>
        <v>1.3579972857696781E-2</v>
      </c>
      <c r="X68" s="19">
        <v>3.6533794946454901</v>
      </c>
      <c r="Y68" s="16"/>
      <c r="Z68" s="19">
        <v>46.640160981353326</v>
      </c>
      <c r="AA68" s="19">
        <v>7.2936268987341775</v>
      </c>
      <c r="AB68" s="19">
        <v>8.381507984078322</v>
      </c>
      <c r="AC68" s="19">
        <v>15.6751348828125</v>
      </c>
      <c r="AD68" s="16"/>
      <c r="AE68" s="19">
        <v>0.46529914755192991</v>
      </c>
      <c r="AF68" s="19">
        <v>122.45678358364867</v>
      </c>
      <c r="AG68" s="19">
        <v>22.464298555085605</v>
      </c>
      <c r="AH68" s="19">
        <v>69.104459536438924</v>
      </c>
      <c r="AI68" s="39">
        <f t="shared" si="5"/>
        <v>0.96746243351014494</v>
      </c>
      <c r="AJ68" s="16"/>
      <c r="AK68" s="5">
        <f t="shared" si="2"/>
        <v>1.0186097464351818</v>
      </c>
      <c r="AL68" s="5"/>
      <c r="AM68" s="19">
        <v>5.4511732598000995</v>
      </c>
      <c r="AO68" s="19">
        <f t="shared" si="3"/>
        <v>72.757839031084416</v>
      </c>
      <c r="AP68" s="39">
        <f t="shared" si="4"/>
        <v>1.0186097464351818</v>
      </c>
    </row>
    <row r="69" spans="1:42" s="38" customFormat="1">
      <c r="A69" s="38">
        <v>3</v>
      </c>
      <c r="B69" s="38" t="s">
        <v>43</v>
      </c>
      <c r="C69" s="45" t="s">
        <v>0</v>
      </c>
      <c r="D69" s="36">
        <v>38945</v>
      </c>
      <c r="E69" s="65">
        <v>0.34861111111111115</v>
      </c>
      <c r="F69" s="19">
        <v>3</v>
      </c>
      <c r="G69" s="19">
        <v>1.5</v>
      </c>
      <c r="H69" s="16"/>
      <c r="J69" s="20">
        <v>22.8</v>
      </c>
      <c r="K69" s="22">
        <f>(3.95+4.15)/2</f>
        <v>4.0500000000000007</v>
      </c>
      <c r="L69" s="21">
        <f>(50.9+55.9)/2</f>
        <v>53.4</v>
      </c>
      <c r="M69" s="17"/>
      <c r="N69" s="19" t="s">
        <v>49</v>
      </c>
      <c r="O69" s="40">
        <v>0</v>
      </c>
      <c r="Q69" s="38" t="s">
        <v>49</v>
      </c>
      <c r="R69" s="20">
        <v>29.3</v>
      </c>
      <c r="S69" s="29">
        <v>0.98710685680797039</v>
      </c>
      <c r="T69" s="20">
        <v>7.4905817977259961</v>
      </c>
      <c r="U69" s="19">
        <f t="shared" ref="U69:U88" si="6">T69*0.014</f>
        <v>0.10486814516816395</v>
      </c>
      <c r="V69" s="22">
        <v>1.6582406471183013</v>
      </c>
      <c r="W69" s="19">
        <f t="shared" ref="W69:W92" si="7">V69*0.014</f>
        <v>2.3215369059656221E-2</v>
      </c>
      <c r="X69" s="19">
        <v>9.1488224448442974</v>
      </c>
      <c r="Y69" s="16"/>
      <c r="Z69" s="19">
        <v>59.695703727562787</v>
      </c>
      <c r="AA69" s="19">
        <v>9.9645221518987359</v>
      </c>
      <c r="AB69" s="19">
        <v>7.2158698793512652</v>
      </c>
      <c r="AC69" s="19">
        <v>17.180392031250001</v>
      </c>
      <c r="AD69" s="16"/>
      <c r="AE69" s="19">
        <v>0.57999387521390233</v>
      </c>
      <c r="AF69" s="19">
        <v>82.570893369568097</v>
      </c>
      <c r="AG69" s="19">
        <v>13.621011831074139</v>
      </c>
      <c r="AH69" s="19">
        <v>73.316715558636929</v>
      </c>
      <c r="AI69" s="39">
        <f t="shared" si="5"/>
        <v>1.026434017820917</v>
      </c>
      <c r="AJ69" s="16"/>
      <c r="AK69" s="5">
        <f t="shared" si="2"/>
        <v>1.1545175320487373</v>
      </c>
      <c r="AL69" s="5"/>
      <c r="AM69" s="19">
        <v>6.062023467389988</v>
      </c>
      <c r="AO69" s="19">
        <f t="shared" ref="AO69:AO116" si="8">X69+AH69</f>
        <v>82.465538003481228</v>
      </c>
      <c r="AP69" s="39">
        <f t="shared" ref="AP69:AP115" si="9">AO69*0.014</f>
        <v>1.1545175320487373</v>
      </c>
    </row>
    <row r="70" spans="1:42" s="38" customFormat="1">
      <c r="A70" s="38">
        <v>3</v>
      </c>
      <c r="B70" s="38" t="s">
        <v>44</v>
      </c>
      <c r="C70" s="45" t="s">
        <v>0</v>
      </c>
      <c r="D70" s="36">
        <v>38945</v>
      </c>
      <c r="E70" s="66"/>
      <c r="F70" s="19"/>
      <c r="G70" s="19"/>
      <c r="H70" s="16"/>
      <c r="J70" s="20">
        <v>22.7</v>
      </c>
      <c r="K70" s="22">
        <f>(3.98+4.09)/2</f>
        <v>4.0350000000000001</v>
      </c>
      <c r="L70" s="21">
        <f>(49.6+54.1)/2</f>
        <v>51.85</v>
      </c>
      <c r="M70" s="17"/>
      <c r="N70" s="19"/>
      <c r="O70" s="40"/>
      <c r="R70" s="20">
        <v>30.4</v>
      </c>
      <c r="S70" s="29">
        <v>1.3497102298626034</v>
      </c>
      <c r="T70" s="20">
        <v>9.2605219644409615</v>
      </c>
      <c r="U70" s="19">
        <f t="shared" si="6"/>
        <v>0.12964730750217346</v>
      </c>
      <c r="V70" s="22">
        <v>1.0212335692618808</v>
      </c>
      <c r="W70" s="19">
        <f t="shared" si="7"/>
        <v>1.4297269969666331E-2</v>
      </c>
      <c r="X70" s="19">
        <v>10.281755533702842</v>
      </c>
      <c r="Y70" s="16"/>
      <c r="Z70" s="19">
        <v>62.941054351488823</v>
      </c>
      <c r="AA70" s="19">
        <v>6.3839556962025323</v>
      </c>
      <c r="AB70" s="19">
        <v>7.1940613350474685</v>
      </c>
      <c r="AC70" s="19">
        <v>13.578017031250001</v>
      </c>
      <c r="AD70" s="16"/>
      <c r="AE70" s="19">
        <v>0.47016848494958924</v>
      </c>
      <c r="AF70" s="19">
        <v>96.36158337643684</v>
      </c>
      <c r="AG70" s="19">
        <v>14.450858598512216</v>
      </c>
      <c r="AH70" s="19">
        <v>77.391912950001043</v>
      </c>
      <c r="AI70" s="39">
        <f t="shared" si="5"/>
        <v>1.0834867813000146</v>
      </c>
      <c r="AJ70" s="16"/>
      <c r="AK70" s="5">
        <f t="shared" si="2"/>
        <v>1.2274313587718544</v>
      </c>
      <c r="AL70" s="5"/>
      <c r="AM70" s="19">
        <v>6.6682254704476671</v>
      </c>
      <c r="AO70" s="19">
        <f t="shared" si="8"/>
        <v>87.673668483703892</v>
      </c>
      <c r="AP70" s="39">
        <f t="shared" si="9"/>
        <v>1.2274313587718546</v>
      </c>
    </row>
    <row r="71" spans="1:42" s="38" customFormat="1">
      <c r="A71" s="38">
        <v>3</v>
      </c>
      <c r="B71" s="38" t="s">
        <v>43</v>
      </c>
      <c r="C71" s="45" t="s">
        <v>0</v>
      </c>
      <c r="D71" s="36">
        <v>38973</v>
      </c>
      <c r="E71" s="65">
        <v>0.31597222222222221</v>
      </c>
      <c r="F71" s="19">
        <v>2.8</v>
      </c>
      <c r="G71" s="19">
        <v>1.8</v>
      </c>
      <c r="H71" s="16"/>
      <c r="J71" s="20">
        <v>18.2</v>
      </c>
      <c r="K71" s="22">
        <f>(7.36+7.55)/2</f>
        <v>7.4550000000000001</v>
      </c>
      <c r="L71" s="21">
        <f>(95.3+96.3)/2</f>
        <v>95.8</v>
      </c>
      <c r="M71" s="17"/>
      <c r="N71" s="19" t="s">
        <v>49</v>
      </c>
      <c r="O71" s="40">
        <v>0</v>
      </c>
      <c r="P71" s="38" t="s">
        <v>52</v>
      </c>
      <c r="Q71" s="38" t="s">
        <v>49</v>
      </c>
      <c r="R71" s="20">
        <v>31.5</v>
      </c>
      <c r="S71" s="29">
        <v>0.78393607793420972</v>
      </c>
      <c r="T71" s="20">
        <v>1.119264038117163</v>
      </c>
      <c r="U71" s="19">
        <f t="shared" si="6"/>
        <v>1.5669696533640282E-2</v>
      </c>
      <c r="V71" s="22">
        <v>0.10717896865520728</v>
      </c>
      <c r="W71" s="19">
        <f t="shared" si="7"/>
        <v>1.5005055611729018E-3</v>
      </c>
      <c r="X71" s="19">
        <v>1.2264430067723704</v>
      </c>
      <c r="Y71" s="16"/>
      <c r="Z71" s="19">
        <v>19.048356993227628</v>
      </c>
      <c r="AA71" s="19">
        <v>14.236583734177209</v>
      </c>
      <c r="AB71" s="19">
        <v>3.4315640918644541</v>
      </c>
      <c r="AC71" s="19">
        <v>17.668147826041665</v>
      </c>
      <c r="AD71" s="16"/>
      <c r="AE71" s="19">
        <v>0.80577680662109019</v>
      </c>
      <c r="AF71" s="19">
        <v>87.21053364976953</v>
      </c>
      <c r="AG71" s="19">
        <v>13.47803478309017</v>
      </c>
      <c r="AH71" s="19">
        <v>32.526391776317794</v>
      </c>
      <c r="AI71" s="39">
        <f t="shared" si="5"/>
        <v>0.45536948486844914</v>
      </c>
      <c r="AJ71" s="16"/>
      <c r="AK71" s="5">
        <f t="shared" si="2"/>
        <v>0.47253968696326232</v>
      </c>
      <c r="AL71" s="5"/>
      <c r="AM71" s="19">
        <v>6.4705674865289504</v>
      </c>
      <c r="AO71" s="19">
        <f t="shared" si="8"/>
        <v>33.752834783090165</v>
      </c>
      <c r="AP71" s="39">
        <f t="shared" si="9"/>
        <v>0.47253968696326232</v>
      </c>
    </row>
    <row r="72" spans="1:42" s="38" customFormat="1">
      <c r="A72" s="38">
        <v>3</v>
      </c>
      <c r="B72" s="38" t="s">
        <v>44</v>
      </c>
      <c r="C72" s="45" t="s">
        <v>0</v>
      </c>
      <c r="D72" s="36">
        <v>38973</v>
      </c>
      <c r="E72" s="66"/>
      <c r="F72" s="19"/>
      <c r="G72" s="19"/>
      <c r="H72" s="16">
        <f>SUM(G61:G72)/6</f>
        <v>1.4333333333333333</v>
      </c>
      <c r="J72" s="20">
        <v>18.100000000000001</v>
      </c>
      <c r="K72" s="22">
        <f>(7.03+7.31)/2</f>
        <v>7.17</v>
      </c>
      <c r="L72" s="21">
        <f>(93.2+96.1)/2</f>
        <v>94.65</v>
      </c>
      <c r="M72" s="17">
        <f>SUM(K61:K72)/12</f>
        <v>4.805416666666666</v>
      </c>
      <c r="N72" s="19"/>
      <c r="O72" s="40"/>
      <c r="R72" s="20">
        <v>31.6</v>
      </c>
      <c r="S72" s="29">
        <v>0.88881141433686994</v>
      </c>
      <c r="T72" s="20">
        <v>1.0764581734458916</v>
      </c>
      <c r="U72" s="19">
        <f t="shared" si="6"/>
        <v>1.5070414428242482E-2</v>
      </c>
      <c r="V72" s="22">
        <v>0.46208291203235596</v>
      </c>
      <c r="W72" s="19">
        <f t="shared" si="7"/>
        <v>6.4691607684529834E-3</v>
      </c>
      <c r="X72" s="19">
        <v>1.5385410854782475</v>
      </c>
      <c r="Y72" s="16">
        <f>SUM(X61:X72)/12</f>
        <v>3.7888698602600761</v>
      </c>
      <c r="Z72" s="19">
        <v>37.241770259141319</v>
      </c>
      <c r="AA72" s="19">
        <v>14.980317405063285</v>
      </c>
      <c r="AB72" s="19">
        <v>3.3054251709783844</v>
      </c>
      <c r="AC72" s="19">
        <v>18.28574257604167</v>
      </c>
      <c r="AD72" s="16">
        <f>SUM(AC61:AC72)/12</f>
        <v>16.65852935173611</v>
      </c>
      <c r="AE72" s="19">
        <v>0.81923484062882868</v>
      </c>
      <c r="AF72" s="50">
        <v>0</v>
      </c>
      <c r="AG72" s="50">
        <v>0</v>
      </c>
      <c r="AH72" s="50">
        <v>0</v>
      </c>
      <c r="AI72" s="39">
        <f t="shared" si="5"/>
        <v>0</v>
      </c>
      <c r="AJ72" s="16">
        <f>SUM(AI61:AI72)/12</f>
        <v>0.75110550549542887</v>
      </c>
      <c r="AK72" s="5">
        <f t="shared" si="2"/>
        <v>0.54292435882467394</v>
      </c>
      <c r="AL72" s="16">
        <f>SUM(AK61:AK72)/12</f>
        <v>0.84759841550806814</v>
      </c>
      <c r="AM72" s="50" t="s">
        <v>47</v>
      </c>
      <c r="AO72" s="19">
        <f t="shared" si="8"/>
        <v>1.5385410854782475</v>
      </c>
      <c r="AP72" s="39">
        <f t="shared" si="9"/>
        <v>2.1539575196695467E-2</v>
      </c>
    </row>
    <row r="73" spans="1:42" s="38" customFormat="1">
      <c r="A73" s="38">
        <v>3</v>
      </c>
      <c r="B73" s="38" t="s">
        <v>43</v>
      </c>
      <c r="C73" s="45" t="s">
        <v>0</v>
      </c>
      <c r="D73" s="36">
        <v>39254</v>
      </c>
      <c r="E73" s="67"/>
      <c r="F73" s="64">
        <v>3.4</v>
      </c>
      <c r="G73" s="19">
        <v>1.45</v>
      </c>
      <c r="H73" s="16"/>
      <c r="I73" s="47"/>
      <c r="J73" s="21">
        <v>20.3</v>
      </c>
      <c r="K73" s="22">
        <f>(6.35+6.52)/2</f>
        <v>6.4349999999999996</v>
      </c>
      <c r="L73" s="21"/>
      <c r="M73" s="17"/>
      <c r="N73" s="19" t="s">
        <v>49</v>
      </c>
      <c r="O73" s="40">
        <v>2</v>
      </c>
      <c r="P73" s="38" t="s">
        <v>54</v>
      </c>
      <c r="Q73" s="38" t="s">
        <v>49</v>
      </c>
      <c r="R73" s="20">
        <v>30.8</v>
      </c>
      <c r="S73" s="20">
        <v>0.59527445196367645</v>
      </c>
      <c r="T73" s="21">
        <v>2.1294019005030735</v>
      </c>
      <c r="U73" s="19">
        <f t="shared" si="6"/>
        <v>2.9811626607043031E-2</v>
      </c>
      <c r="V73" s="22">
        <v>0.19816919826979176</v>
      </c>
      <c r="W73" s="19">
        <f t="shared" si="7"/>
        <v>2.7743687757770846E-3</v>
      </c>
      <c r="X73" s="22">
        <v>2.3275710987728653</v>
      </c>
      <c r="Y73" s="16"/>
      <c r="Z73" s="22">
        <v>55.032023945387778</v>
      </c>
      <c r="AA73" s="19">
        <v>19.137683037974679</v>
      </c>
      <c r="AB73" s="19">
        <v>1.9256288286919898</v>
      </c>
      <c r="AC73" s="19">
        <v>21.06331186666667</v>
      </c>
      <c r="AD73" s="16"/>
      <c r="AE73" s="19">
        <v>0.90857900975490202</v>
      </c>
      <c r="AF73" s="19">
        <v>91.625076513894484</v>
      </c>
      <c r="AG73" s="19">
        <v>14.957010583961999</v>
      </c>
      <c r="AH73" s="19">
        <v>69.98903452934978</v>
      </c>
      <c r="AI73" s="39">
        <f t="shared" si="5"/>
        <v>0.97984648341089697</v>
      </c>
      <c r="AJ73" s="16"/>
      <c r="AK73" s="5">
        <f t="shared" si="2"/>
        <v>1.0124324787937171</v>
      </c>
      <c r="AL73" s="5"/>
      <c r="AM73" s="19">
        <v>6.1258950108748067</v>
      </c>
      <c r="AO73" s="19">
        <f t="shared" si="8"/>
        <v>72.316605628122645</v>
      </c>
      <c r="AP73" s="39">
        <f t="shared" si="9"/>
        <v>1.0124324787937171</v>
      </c>
    </row>
    <row r="74" spans="1:42" s="38" customFormat="1">
      <c r="A74" s="38">
        <v>3</v>
      </c>
      <c r="B74" s="38" t="s">
        <v>44</v>
      </c>
      <c r="C74" s="45" t="s">
        <v>0</v>
      </c>
      <c r="D74" s="36">
        <v>39254</v>
      </c>
      <c r="E74" s="67"/>
      <c r="F74" s="64"/>
      <c r="G74" s="19"/>
      <c r="H74" s="16"/>
      <c r="I74" s="47"/>
      <c r="J74" s="21">
        <v>20.399999999999999</v>
      </c>
      <c r="K74" s="22">
        <f>(5.46+5.9)/2</f>
        <v>5.68</v>
      </c>
      <c r="L74" s="21"/>
      <c r="M74" s="17"/>
      <c r="N74" s="19"/>
      <c r="O74" s="40"/>
      <c r="R74" s="20">
        <v>31</v>
      </c>
      <c r="S74" s="20">
        <v>1.0498270576667246</v>
      </c>
      <c r="T74" s="21">
        <v>14.002792490754466</v>
      </c>
      <c r="U74" s="19">
        <f t="shared" si="6"/>
        <v>0.19603909487056254</v>
      </c>
      <c r="V74" s="22">
        <v>0.67095865607081784</v>
      </c>
      <c r="W74" s="19">
        <f t="shared" si="7"/>
        <v>9.39342118499145E-3</v>
      </c>
      <c r="X74" s="22">
        <v>14.673751146825284</v>
      </c>
      <c r="Y74" s="16"/>
      <c r="Z74" s="22">
        <v>124.44796107268905</v>
      </c>
      <c r="AA74" s="19">
        <v>15.082041518987339</v>
      </c>
      <c r="AB74" s="19">
        <v>4.0437743476793298</v>
      </c>
      <c r="AC74" s="19">
        <v>19.12581586666667</v>
      </c>
      <c r="AD74" s="16"/>
      <c r="AE74" s="19">
        <v>0.78856983796821956</v>
      </c>
      <c r="AF74" s="19">
        <v>112.0845522964504</v>
      </c>
      <c r="AG74" s="19">
        <v>17.638974301441124</v>
      </c>
      <c r="AH74" s="19">
        <v>142.08693537413018</v>
      </c>
      <c r="AI74" s="39">
        <f t="shared" si="5"/>
        <v>1.9892170952378225</v>
      </c>
      <c r="AJ74" s="16"/>
      <c r="AK74" s="5">
        <f t="shared" si="2"/>
        <v>2.1946496112933764</v>
      </c>
      <c r="AL74" s="5"/>
      <c r="AM74" s="19">
        <v>6.3543690455568589</v>
      </c>
      <c r="AO74" s="19">
        <f t="shared" si="8"/>
        <v>156.76068652095546</v>
      </c>
      <c r="AP74" s="39">
        <f t="shared" si="9"/>
        <v>2.1946496112933764</v>
      </c>
    </row>
    <row r="75" spans="1:42" s="38" customFormat="1">
      <c r="A75" s="38">
        <v>3</v>
      </c>
      <c r="B75" s="38" t="s">
        <v>43</v>
      </c>
      <c r="C75" s="45" t="s">
        <v>0</v>
      </c>
      <c r="D75" s="36">
        <v>39282</v>
      </c>
      <c r="E75" s="67">
        <v>0.33333333333333331</v>
      </c>
      <c r="F75" s="64">
        <v>3.5</v>
      </c>
      <c r="G75" s="19">
        <v>1.54</v>
      </c>
      <c r="H75" s="16"/>
      <c r="I75" s="47"/>
      <c r="J75" s="21">
        <v>24.3</v>
      </c>
      <c r="K75" s="22">
        <f>(3.6+4.24)/2</f>
        <v>3.92</v>
      </c>
      <c r="L75" s="21"/>
      <c r="M75" s="17"/>
      <c r="N75" s="19" t="s">
        <v>51</v>
      </c>
      <c r="O75" s="40">
        <v>0</v>
      </c>
      <c r="P75" s="38" t="s">
        <v>53</v>
      </c>
      <c r="Q75" s="38" t="s">
        <v>49</v>
      </c>
      <c r="R75" s="20">
        <v>29.2</v>
      </c>
      <c r="S75" s="20">
        <v>0.94343434343434351</v>
      </c>
      <c r="T75" s="21">
        <v>2.7951231032650412</v>
      </c>
      <c r="U75" s="19">
        <f t="shared" si="6"/>
        <v>3.913172344571058E-2</v>
      </c>
      <c r="V75" s="22">
        <v>1.4686651242329745</v>
      </c>
      <c r="W75" s="19">
        <f t="shared" si="7"/>
        <v>2.0561311739261644E-2</v>
      </c>
      <c r="X75" s="22">
        <v>4.2637882274980159</v>
      </c>
      <c r="Y75" s="16"/>
      <c r="Z75" s="22">
        <v>67.39870815006357</v>
      </c>
      <c r="AA75" s="19">
        <v>16.68914430379747</v>
      </c>
      <c r="AB75" s="19">
        <v>12.514801162869199</v>
      </c>
      <c r="AC75" s="19">
        <v>29.203945466666667</v>
      </c>
      <c r="AD75" s="16"/>
      <c r="AE75" s="19">
        <v>0.57146882166474489</v>
      </c>
      <c r="AF75" s="19">
        <v>95.128372816121384</v>
      </c>
      <c r="AG75" s="19">
        <v>15.795175933483915</v>
      </c>
      <c r="AH75" s="19">
        <v>83.193884083547488</v>
      </c>
      <c r="AI75" s="39">
        <f t="shared" si="5"/>
        <v>1.1647143771696649</v>
      </c>
      <c r="AJ75" s="16"/>
      <c r="AK75" s="5">
        <f t="shared" si="2"/>
        <v>1.2244074123546369</v>
      </c>
      <c r="AL75" s="5"/>
      <c r="AM75" s="19">
        <v>6.0226219205612281</v>
      </c>
      <c r="AO75" s="19">
        <f t="shared" si="8"/>
        <v>87.457672311045499</v>
      </c>
      <c r="AP75" s="39">
        <f t="shared" si="9"/>
        <v>1.2244074123546369</v>
      </c>
    </row>
    <row r="76" spans="1:42" s="38" customFormat="1">
      <c r="A76" s="38">
        <v>3</v>
      </c>
      <c r="B76" s="38" t="s">
        <v>44</v>
      </c>
      <c r="C76" s="45" t="s">
        <v>0</v>
      </c>
      <c r="D76" s="36">
        <v>39282</v>
      </c>
      <c r="E76" s="67"/>
      <c r="F76" s="64"/>
      <c r="G76" s="19"/>
      <c r="H76" s="16"/>
      <c r="I76" s="47"/>
      <c r="J76" s="21">
        <v>24.4</v>
      </c>
      <c r="K76" s="22">
        <f>(2.82+3.21)/2</f>
        <v>3.0149999999999997</v>
      </c>
      <c r="L76" s="21"/>
      <c r="M76" s="17"/>
      <c r="N76" s="19"/>
      <c r="O76" s="40"/>
      <c r="R76" s="20">
        <v>29.9</v>
      </c>
      <c r="S76" s="20">
        <v>1.3562901744719924</v>
      </c>
      <c r="T76" s="21">
        <v>9.2853452372731979</v>
      </c>
      <c r="U76" s="19">
        <f t="shared" si="6"/>
        <v>0.12999483332182477</v>
      </c>
      <c r="V76" s="22">
        <v>0.89930590483854744</v>
      </c>
      <c r="W76" s="19">
        <f t="shared" si="7"/>
        <v>1.2590282667739665E-2</v>
      </c>
      <c r="X76" s="22">
        <v>10.184651142111745</v>
      </c>
      <c r="Y76" s="16"/>
      <c r="Z76" s="22">
        <v>111.62704289807425</v>
      </c>
      <c r="AA76" s="19">
        <v>9.674519493670882</v>
      </c>
      <c r="AB76" s="19">
        <v>10.427920372995784</v>
      </c>
      <c r="AC76" s="19">
        <v>20.102439866666664</v>
      </c>
      <c r="AD76" s="16"/>
      <c r="AE76" s="19">
        <v>0.48126095925862789</v>
      </c>
      <c r="AF76" s="19">
        <v>202.71053095552216</v>
      </c>
      <c r="AG76" s="19">
        <v>25.895204900333034</v>
      </c>
      <c r="AH76" s="19">
        <v>137.52224779840728</v>
      </c>
      <c r="AI76" s="39">
        <f t="shared" si="5"/>
        <v>1.925311469177702</v>
      </c>
      <c r="AJ76" s="16"/>
      <c r="AK76" s="5">
        <f t="shared" si="2"/>
        <v>2.0678965851672664</v>
      </c>
      <c r="AL76" s="5"/>
      <c r="AM76" s="19">
        <v>7.8281107153129774</v>
      </c>
      <c r="AO76" s="19">
        <f t="shared" si="8"/>
        <v>147.70689894051901</v>
      </c>
      <c r="AP76" s="39">
        <f t="shared" si="9"/>
        <v>2.0678965851672664</v>
      </c>
    </row>
    <row r="77" spans="1:42" s="38" customFormat="1">
      <c r="A77" s="38">
        <v>3</v>
      </c>
      <c r="B77" s="38" t="s">
        <v>43</v>
      </c>
      <c r="C77" s="45" t="s">
        <v>0</v>
      </c>
      <c r="D77" s="36">
        <v>39301</v>
      </c>
      <c r="E77" s="67">
        <v>0.36458333333333331</v>
      </c>
      <c r="F77" s="64">
        <v>3</v>
      </c>
      <c r="G77" s="19">
        <v>1.1000000000000001</v>
      </c>
      <c r="H77" s="16"/>
      <c r="I77" s="47"/>
      <c r="J77" s="21">
        <v>25</v>
      </c>
      <c r="K77" s="22">
        <f>(4.77+5.1)/2</f>
        <v>4.9349999999999996</v>
      </c>
      <c r="L77" s="21"/>
      <c r="M77" s="17"/>
      <c r="N77" s="19" t="s">
        <v>51</v>
      </c>
      <c r="O77" s="40">
        <v>3</v>
      </c>
      <c r="P77" s="38" t="s">
        <v>53</v>
      </c>
      <c r="Q77" s="38" t="s">
        <v>49</v>
      </c>
      <c r="R77" s="20">
        <v>30</v>
      </c>
      <c r="S77" s="20">
        <v>0.59138331704121327</v>
      </c>
      <c r="T77" s="21">
        <v>0.88545962485033902</v>
      </c>
      <c r="U77" s="19">
        <f t="shared" si="6"/>
        <v>1.2396434747904746E-2</v>
      </c>
      <c r="V77" s="22">
        <v>0.10662911175938034</v>
      </c>
      <c r="W77" s="19">
        <f t="shared" si="7"/>
        <v>1.4928075646313246E-3</v>
      </c>
      <c r="X77" s="22">
        <v>0.9920887366097193</v>
      </c>
      <c r="Y77" s="16"/>
      <c r="Z77" s="22">
        <v>26.989063563390282</v>
      </c>
      <c r="AA77" s="19">
        <v>14.58318664556962</v>
      </c>
      <c r="AB77" s="19">
        <v>0.49210189661788012</v>
      </c>
      <c r="AC77" s="19">
        <v>15.075288542187501</v>
      </c>
      <c r="AD77" s="16"/>
      <c r="AE77" s="19">
        <v>0.96735704956885193</v>
      </c>
      <c r="AF77" s="19">
        <v>125.17823007092946</v>
      </c>
      <c r="AG77" s="19">
        <v>19.737327505460698</v>
      </c>
      <c r="AH77" s="19">
        <v>46.72639106885098</v>
      </c>
      <c r="AI77" s="39">
        <f t="shared" si="5"/>
        <v>0.65416947496391376</v>
      </c>
      <c r="AJ77" s="16"/>
      <c r="AK77" s="5">
        <f t="shared" si="2"/>
        <v>0.66805871727644983</v>
      </c>
      <c r="AL77" s="5"/>
      <c r="AM77" s="19">
        <v>6.3422076791448374</v>
      </c>
      <c r="AO77" s="19">
        <f t="shared" si="8"/>
        <v>47.718479805460696</v>
      </c>
      <c r="AP77" s="39">
        <f t="shared" si="9"/>
        <v>0.66805871727644972</v>
      </c>
    </row>
    <row r="78" spans="1:42" s="38" customFormat="1">
      <c r="A78" s="38">
        <v>3</v>
      </c>
      <c r="B78" s="38" t="s">
        <v>44</v>
      </c>
      <c r="C78" s="45" t="s">
        <v>0</v>
      </c>
      <c r="D78" s="36">
        <v>39301</v>
      </c>
      <c r="E78" s="67"/>
      <c r="F78" s="64"/>
      <c r="G78" s="19"/>
      <c r="H78" s="16"/>
      <c r="I78" s="47"/>
      <c r="J78" s="21">
        <v>24.9</v>
      </c>
      <c r="K78" s="22">
        <f>(3.46+3.8)/2</f>
        <v>3.63</v>
      </c>
      <c r="L78" s="21"/>
      <c r="M78" s="17"/>
      <c r="N78" s="19"/>
      <c r="O78" s="40"/>
      <c r="R78" s="20">
        <v>30.4</v>
      </c>
      <c r="S78" s="20">
        <v>0.59138331704121327</v>
      </c>
      <c r="T78" s="21">
        <v>1.9568596894657824</v>
      </c>
      <c r="U78" s="19">
        <f t="shared" si="6"/>
        <v>2.7396035652520953E-2</v>
      </c>
      <c r="V78" s="22">
        <v>0.74338597726586852</v>
      </c>
      <c r="W78" s="19">
        <f t="shared" si="7"/>
        <v>1.0407403681722159E-2</v>
      </c>
      <c r="X78" s="22">
        <v>2.700245666731651</v>
      </c>
      <c r="Y78" s="16"/>
      <c r="Z78" s="22">
        <v>51.227563308041965</v>
      </c>
      <c r="AA78" s="19">
        <v>15.250901962025315</v>
      </c>
      <c r="AB78" s="19" t="s">
        <v>60</v>
      </c>
      <c r="AC78" s="19">
        <v>15.275901962025316</v>
      </c>
      <c r="AD78" s="16"/>
      <c r="AE78" s="19">
        <v>1</v>
      </c>
      <c r="AF78" s="19">
        <v>122.41720751381469</v>
      </c>
      <c r="AG78" s="19">
        <v>19.471279203106288</v>
      </c>
      <c r="AH78" s="19">
        <v>70.698842511148257</v>
      </c>
      <c r="AI78" s="39">
        <f t="shared" si="5"/>
        <v>0.98978379515607562</v>
      </c>
      <c r="AJ78" s="16"/>
      <c r="AK78" s="5">
        <f t="shared" si="2"/>
        <v>1.0275872344903187</v>
      </c>
      <c r="AL78" s="5"/>
      <c r="AM78" s="19">
        <v>6.2870654894766878</v>
      </c>
      <c r="AO78" s="19">
        <f t="shared" si="8"/>
        <v>73.399088177879904</v>
      </c>
      <c r="AP78" s="39">
        <f t="shared" si="9"/>
        <v>1.0275872344903187</v>
      </c>
    </row>
    <row r="79" spans="1:42" s="38" customFormat="1">
      <c r="A79" s="38">
        <v>3</v>
      </c>
      <c r="B79" s="38" t="s">
        <v>43</v>
      </c>
      <c r="C79" s="45" t="s">
        <v>0</v>
      </c>
      <c r="D79" s="36">
        <v>39315</v>
      </c>
      <c r="E79" s="67">
        <v>0.33333333333333331</v>
      </c>
      <c r="F79" s="64">
        <v>2.8</v>
      </c>
      <c r="G79" s="19">
        <v>1.4</v>
      </c>
      <c r="H79" s="16"/>
      <c r="I79" s="47"/>
      <c r="J79" s="21">
        <v>21.8</v>
      </c>
      <c r="K79" s="22">
        <f>(6.1+6.47)/2</f>
        <v>6.2850000000000001</v>
      </c>
      <c r="L79" s="21"/>
      <c r="M79" s="17"/>
      <c r="N79" s="19"/>
      <c r="O79" s="40"/>
      <c r="R79" s="20">
        <v>30.6</v>
      </c>
      <c r="S79" s="20">
        <v>0.49446494464944635</v>
      </c>
      <c r="T79" s="21">
        <v>0.89852078891258036</v>
      </c>
      <c r="U79" s="19">
        <f t="shared" si="6"/>
        <v>1.2579291044776125E-2</v>
      </c>
      <c r="V79" s="22">
        <v>0.80173020822854846</v>
      </c>
      <c r="W79" s="19">
        <f t="shared" si="7"/>
        <v>1.1224222915199679E-2</v>
      </c>
      <c r="X79" s="22">
        <v>1.7002509971411288</v>
      </c>
      <c r="Y79" s="16"/>
      <c r="Z79" s="22">
        <v>66.832406532435101</v>
      </c>
      <c r="AA79" s="19">
        <v>5.9597143670886075</v>
      </c>
      <c r="AB79" s="19">
        <v>2.1739631250988936</v>
      </c>
      <c r="AC79" s="19">
        <v>8.1336774921875019</v>
      </c>
      <c r="AD79" s="16"/>
      <c r="AE79" s="19">
        <v>0.73272076164969502</v>
      </c>
      <c r="AF79" s="19">
        <v>72.102641156728566</v>
      </c>
      <c r="AG79" s="19">
        <v>11.284799905720336</v>
      </c>
      <c r="AH79" s="19">
        <v>78.117206438155435</v>
      </c>
      <c r="AI79" s="39">
        <f t="shared" si="5"/>
        <v>1.0936408901341761</v>
      </c>
      <c r="AJ79" s="16"/>
      <c r="AK79" s="5">
        <f t="shared" si="2"/>
        <v>1.1174444040941518</v>
      </c>
      <c r="AL79" s="5"/>
      <c r="AM79" s="19">
        <v>6.3893592938390773</v>
      </c>
      <c r="AO79" s="19">
        <f t="shared" si="8"/>
        <v>79.817457435296561</v>
      </c>
      <c r="AP79" s="39">
        <f t="shared" si="9"/>
        <v>1.1174444040941518</v>
      </c>
    </row>
    <row r="80" spans="1:42" s="38" customFormat="1">
      <c r="A80" s="38">
        <v>3</v>
      </c>
      <c r="B80" s="38" t="s">
        <v>44</v>
      </c>
      <c r="C80" s="45" t="s">
        <v>0</v>
      </c>
      <c r="D80" s="36">
        <v>39315</v>
      </c>
      <c r="E80" s="67"/>
      <c r="F80" s="64"/>
      <c r="G80" s="19"/>
      <c r="H80" s="16"/>
      <c r="I80" s="47"/>
      <c r="J80" s="21">
        <v>22.2</v>
      </c>
      <c r="K80" s="22">
        <f>(5.75+6.63)/2</f>
        <v>6.1899999999999995</v>
      </c>
      <c r="L80" s="21"/>
      <c r="M80" s="17"/>
      <c r="N80" s="19" t="s">
        <v>49</v>
      </c>
      <c r="O80" s="40">
        <v>1</v>
      </c>
      <c r="P80" s="38" t="s">
        <v>61</v>
      </c>
      <c r="Q80" s="38" t="s">
        <v>62</v>
      </c>
      <c r="R80" s="20">
        <v>30.6</v>
      </c>
      <c r="S80" s="20">
        <v>0.5307851492212754</v>
      </c>
      <c r="T80" s="21">
        <v>1.2327425373134331</v>
      </c>
      <c r="U80" s="19">
        <f t="shared" si="6"/>
        <v>1.7258395522388063E-2</v>
      </c>
      <c r="V80" s="22">
        <v>0.3561009958756664</v>
      </c>
      <c r="W80" s="19">
        <f t="shared" si="7"/>
        <v>4.9854139422593298E-3</v>
      </c>
      <c r="X80" s="22">
        <v>1.5888435331890995</v>
      </c>
      <c r="Y80" s="16"/>
      <c r="Z80" s="22">
        <v>50.824484278014097</v>
      </c>
      <c r="AA80" s="19">
        <v>6.359869999999999</v>
      </c>
      <c r="AB80" s="19">
        <v>2.2320922421875018</v>
      </c>
      <c r="AC80" s="19">
        <v>8.5919622421875008</v>
      </c>
      <c r="AD80" s="16"/>
      <c r="AE80" s="19">
        <v>0.74021158621628036</v>
      </c>
      <c r="AF80" s="19">
        <v>61.215734063126902</v>
      </c>
      <c r="AG80" s="19">
        <v>9.0585246657142822</v>
      </c>
      <c r="AH80" s="19">
        <v>59.883008943728377</v>
      </c>
      <c r="AI80" s="39">
        <f t="shared" si="5"/>
        <v>0.83836212521219733</v>
      </c>
      <c r="AJ80" s="16"/>
      <c r="AK80" s="5">
        <f t="shared" si="2"/>
        <v>0.86060593467684465</v>
      </c>
      <c r="AL80" s="5"/>
      <c r="AM80" s="19">
        <v>6.7578039826753535</v>
      </c>
      <c r="AO80" s="19">
        <f t="shared" si="8"/>
        <v>61.471852476917476</v>
      </c>
      <c r="AP80" s="39">
        <f t="shared" si="9"/>
        <v>0.86060593467684465</v>
      </c>
    </row>
    <row r="81" spans="1:43" s="38" customFormat="1">
      <c r="A81" s="38">
        <v>3</v>
      </c>
      <c r="B81" s="38" t="s">
        <v>43</v>
      </c>
      <c r="C81" s="45" t="s">
        <v>0</v>
      </c>
      <c r="D81" s="36">
        <v>39343</v>
      </c>
      <c r="E81" s="67">
        <v>0.34375</v>
      </c>
      <c r="F81" s="64">
        <v>2.8</v>
      </c>
      <c r="G81" s="19">
        <v>1.25</v>
      </c>
      <c r="H81" s="16"/>
      <c r="I81" s="47"/>
      <c r="J81" s="21">
        <v>18.600000000000001</v>
      </c>
      <c r="K81" s="22">
        <f>(6.82+7.17)/2</f>
        <v>6.9950000000000001</v>
      </c>
      <c r="L81" s="21"/>
      <c r="M81" s="17"/>
      <c r="N81" s="19"/>
      <c r="O81" s="40"/>
      <c r="R81" s="20">
        <v>29.2</v>
      </c>
      <c r="S81" s="20">
        <v>1.0305645461414412</v>
      </c>
      <c r="T81" s="21">
        <v>4.7321418072784995</v>
      </c>
      <c r="U81" s="19">
        <f t="shared" si="6"/>
        <v>6.6249985301898989E-2</v>
      </c>
      <c r="V81" s="22">
        <v>0.96469168091741264</v>
      </c>
      <c r="W81" s="19">
        <f t="shared" si="7"/>
        <v>1.3505683532843777E-2</v>
      </c>
      <c r="X81" s="22">
        <v>5.696833488195912</v>
      </c>
      <c r="Y81" s="16"/>
      <c r="Z81" s="22">
        <v>48.489917075706863</v>
      </c>
      <c r="AA81" s="19">
        <v>6.0686324683544308</v>
      </c>
      <c r="AB81" s="19">
        <v>3.4679575238330687</v>
      </c>
      <c r="AC81" s="19">
        <v>9.5365899921874995</v>
      </c>
      <c r="AD81" s="16"/>
      <c r="AE81" s="19">
        <v>0.6363524565201959</v>
      </c>
      <c r="AF81" s="19">
        <v>83.315055135791866</v>
      </c>
      <c r="AG81" s="19">
        <v>14.958153238548174</v>
      </c>
      <c r="AH81" s="19">
        <v>63.448070314255034</v>
      </c>
      <c r="AI81" s="39">
        <f t="shared" si="5"/>
        <v>0.88827298439957048</v>
      </c>
      <c r="AJ81" s="16"/>
      <c r="AK81" s="5">
        <f t="shared" si="2"/>
        <v>0.96802865323431342</v>
      </c>
      <c r="AL81" s="5"/>
      <c r="AM81" s="19">
        <v>5.5698757598687596</v>
      </c>
      <c r="AO81" s="19">
        <f t="shared" si="8"/>
        <v>69.144903802450941</v>
      </c>
      <c r="AP81" s="39">
        <f t="shared" si="9"/>
        <v>0.9680286532343132</v>
      </c>
    </row>
    <row r="82" spans="1:43" s="38" customFormat="1">
      <c r="A82" s="38">
        <v>3</v>
      </c>
      <c r="B82" s="38" t="s">
        <v>44</v>
      </c>
      <c r="C82" s="45" t="s">
        <v>0</v>
      </c>
      <c r="D82" s="36">
        <v>39343</v>
      </c>
      <c r="E82" s="67"/>
      <c r="F82" s="64"/>
      <c r="G82" s="19"/>
      <c r="H82" s="16">
        <f>SUM(G74:G82)/4</f>
        <v>1.3225</v>
      </c>
      <c r="I82" s="47"/>
      <c r="J82" s="21">
        <v>18.7</v>
      </c>
      <c r="K82" s="22">
        <f>(6.62+6.8)/2</f>
        <v>6.71</v>
      </c>
      <c r="L82" s="21"/>
      <c r="M82" s="17">
        <f>SUM(K73:K82)/10</f>
        <v>5.3794999999999984</v>
      </c>
      <c r="N82" s="19"/>
      <c r="O82" s="40"/>
      <c r="R82" s="20">
        <v>29.2</v>
      </c>
      <c r="S82" s="20">
        <v>1.2944413744882886</v>
      </c>
      <c r="T82" s="21">
        <v>2.6127344347110353</v>
      </c>
      <c r="U82" s="19">
        <f t="shared" si="6"/>
        <v>3.6578282085954497E-2</v>
      </c>
      <c r="V82" s="22">
        <v>0.54622271401267475</v>
      </c>
      <c r="W82" s="19">
        <f t="shared" si="7"/>
        <v>7.6471179961774462E-3</v>
      </c>
      <c r="X82" s="22">
        <v>3.1589571487237098</v>
      </c>
      <c r="Y82" s="16"/>
      <c r="Z82" s="22">
        <v>23.054467508810539</v>
      </c>
      <c r="AA82" s="19">
        <v>8.1262374683544305</v>
      </c>
      <c r="AB82" s="19">
        <v>4.0253814238330694</v>
      </c>
      <c r="AC82" s="19">
        <v>12.1516188921875</v>
      </c>
      <c r="AD82" s="16"/>
      <c r="AE82" s="19">
        <v>0.66873702512007993</v>
      </c>
      <c r="AF82" s="19">
        <v>112.8476895828812</v>
      </c>
      <c r="AG82" s="19">
        <v>18.454264826214381</v>
      </c>
      <c r="AH82" s="19">
        <v>41.508732335024916</v>
      </c>
      <c r="AI82" s="39">
        <f t="shared" si="5"/>
        <v>0.58112225269034889</v>
      </c>
      <c r="AJ82" s="16"/>
      <c r="AK82" s="5">
        <f t="shared" si="2"/>
        <v>0.62534765277248083</v>
      </c>
      <c r="AL82" s="5"/>
      <c r="AM82" s="19">
        <v>6.1149924229211488</v>
      </c>
      <c r="AO82" s="19">
        <f t="shared" si="8"/>
        <v>44.667689483748624</v>
      </c>
      <c r="AP82" s="39">
        <f t="shared" si="9"/>
        <v>0.62534765277248072</v>
      </c>
    </row>
    <row r="83" spans="1:43" s="38" customFormat="1">
      <c r="A83" s="38">
        <v>3</v>
      </c>
      <c r="B83" s="38" t="s">
        <v>43</v>
      </c>
      <c r="C83" s="45" t="s">
        <v>0</v>
      </c>
      <c r="D83" s="36">
        <v>39638</v>
      </c>
      <c r="E83" s="67"/>
      <c r="F83" s="22">
        <v>3.3</v>
      </c>
      <c r="G83" s="22">
        <v>1.1000000000000001</v>
      </c>
      <c r="H83" s="16"/>
      <c r="I83" s="38">
        <v>0.5</v>
      </c>
      <c r="J83" s="21">
        <v>25.8</v>
      </c>
      <c r="K83" s="22">
        <v>4.0031175943630695</v>
      </c>
      <c r="L83" s="21">
        <v>100.1</v>
      </c>
      <c r="M83" s="17"/>
      <c r="N83" s="68" t="s">
        <v>63</v>
      </c>
      <c r="O83" s="69">
        <v>1</v>
      </c>
      <c r="P83" s="68" t="s">
        <v>64</v>
      </c>
      <c r="Q83" s="68" t="s">
        <v>63</v>
      </c>
      <c r="R83" s="21">
        <v>31</v>
      </c>
      <c r="S83" s="20">
        <v>0.81917550598021871</v>
      </c>
      <c r="T83" s="20">
        <v>1.6154431190457124</v>
      </c>
      <c r="U83" s="19">
        <f t="shared" si="6"/>
        <v>2.2616203666639974E-2</v>
      </c>
      <c r="V83" s="22">
        <v>0.48050760260660791</v>
      </c>
      <c r="W83" s="19">
        <f t="shared" si="7"/>
        <v>6.7271064364925106E-3</v>
      </c>
      <c r="X83" s="19">
        <v>2.0959507216523203</v>
      </c>
      <c r="Y83" s="16"/>
      <c r="Z83" s="22">
        <v>33.233328944884086</v>
      </c>
      <c r="AA83" s="22">
        <v>13.488896202531643</v>
      </c>
      <c r="AB83" s="22">
        <v>6.2816053183016916</v>
      </c>
      <c r="AC83" s="22">
        <v>19.770501520833335</v>
      </c>
      <c r="AD83" s="16"/>
      <c r="AE83" s="22">
        <v>0.68227385068191637</v>
      </c>
      <c r="AF83" s="22">
        <v>109.66531569958818</v>
      </c>
      <c r="AG83" s="22">
        <v>19.544194048668967</v>
      </c>
      <c r="AH83" s="22">
        <v>52.777522993553049</v>
      </c>
      <c r="AI83" s="39">
        <f t="shared" si="5"/>
        <v>0.73888532190974265</v>
      </c>
      <c r="AJ83" s="16"/>
      <c r="AK83" s="5">
        <f t="shared" si="2"/>
        <v>0.76822863201287528</v>
      </c>
      <c r="AL83" s="5"/>
      <c r="AM83" s="22">
        <v>5.6111454596950647</v>
      </c>
      <c r="AO83" s="19">
        <f t="shared" si="8"/>
        <v>54.873473715205371</v>
      </c>
      <c r="AP83" s="39">
        <f t="shared" si="9"/>
        <v>0.76822863201287517</v>
      </c>
    </row>
    <row r="84" spans="1:43" s="38" customFormat="1">
      <c r="A84" s="38">
        <v>3</v>
      </c>
      <c r="B84" s="38" t="s">
        <v>44</v>
      </c>
      <c r="C84" s="45" t="s">
        <v>0</v>
      </c>
      <c r="D84" s="36">
        <v>39638</v>
      </c>
      <c r="E84" s="67"/>
      <c r="F84" s="22">
        <v>3.3</v>
      </c>
      <c r="G84" s="22">
        <v>1.1000000000000001</v>
      </c>
      <c r="H84" s="16"/>
      <c r="I84" s="38">
        <v>2.8</v>
      </c>
      <c r="J84" s="21">
        <v>25.5</v>
      </c>
      <c r="K84" s="22">
        <v>3.2447645259756541</v>
      </c>
      <c r="L84" s="21">
        <v>100.1</v>
      </c>
      <c r="M84" s="17"/>
      <c r="N84" s="68" t="s">
        <v>63</v>
      </c>
      <c r="O84" s="69">
        <v>1</v>
      </c>
      <c r="P84" s="68" t="s">
        <v>64</v>
      </c>
      <c r="Q84" s="68" t="s">
        <v>63</v>
      </c>
      <c r="R84" s="21">
        <v>31.1</v>
      </c>
      <c r="S84" s="20">
        <v>0.94318294891440635</v>
      </c>
      <c r="T84" s="20">
        <v>2.6677607877671923</v>
      </c>
      <c r="U84" s="19">
        <f t="shared" si="6"/>
        <v>3.7348651028740694E-2</v>
      </c>
      <c r="V84" s="22">
        <v>0.97786720321931597</v>
      </c>
      <c r="W84" s="19">
        <f t="shared" si="7"/>
        <v>1.3690140845070423E-2</v>
      </c>
      <c r="X84" s="19">
        <v>3.6456279909865081</v>
      </c>
      <c r="Y84" s="16"/>
      <c r="Z84" s="22">
        <v>79.51108155798353</v>
      </c>
      <c r="AA84" s="22">
        <v>14.348209493670883</v>
      </c>
      <c r="AB84" s="22">
        <v>7.6166530271624504</v>
      </c>
      <c r="AC84" s="22">
        <v>21.964862520833332</v>
      </c>
      <c r="AD84" s="16"/>
      <c r="AE84" s="22">
        <v>0.65323465967801198</v>
      </c>
      <c r="AF84" s="22">
        <v>101.1927769534778</v>
      </c>
      <c r="AG84" s="22">
        <v>17.900961758712562</v>
      </c>
      <c r="AH84" s="22">
        <v>97.412043316696099</v>
      </c>
      <c r="AI84" s="39">
        <f t="shared" si="5"/>
        <v>1.3637686064337453</v>
      </c>
      <c r="AJ84" s="16"/>
      <c r="AK84" s="5">
        <f t="shared" si="2"/>
        <v>1.4148073983075564</v>
      </c>
      <c r="AL84" s="5"/>
      <c r="AM84" s="22">
        <v>5.6529240337730098</v>
      </c>
      <c r="AO84" s="19">
        <f t="shared" si="8"/>
        <v>101.05767130768261</v>
      </c>
      <c r="AP84" s="39">
        <f t="shared" si="9"/>
        <v>1.4148073983075566</v>
      </c>
    </row>
    <row r="85" spans="1:43" s="38" customFormat="1">
      <c r="A85" s="38">
        <v>3</v>
      </c>
      <c r="B85" s="38" t="s">
        <v>65</v>
      </c>
      <c r="C85" s="45" t="s">
        <v>0</v>
      </c>
      <c r="D85" s="36">
        <v>39653</v>
      </c>
      <c r="E85" s="67"/>
      <c r="F85" s="22">
        <v>3.1</v>
      </c>
      <c r="G85" s="22">
        <v>1.2</v>
      </c>
      <c r="H85" s="16"/>
      <c r="I85" s="38">
        <v>1.6</v>
      </c>
      <c r="J85" s="21">
        <v>25.3</v>
      </c>
      <c r="K85" s="22">
        <v>4.6447229794287646</v>
      </c>
      <c r="L85" s="21">
        <v>100</v>
      </c>
      <c r="M85" s="17"/>
      <c r="N85" s="68" t="s">
        <v>63</v>
      </c>
      <c r="O85" s="69">
        <v>1</v>
      </c>
      <c r="P85" s="68" t="s">
        <v>43</v>
      </c>
      <c r="Q85" s="68" t="s">
        <v>47</v>
      </c>
      <c r="R85" s="21">
        <v>31.7</v>
      </c>
      <c r="S85" s="20">
        <v>0.43815571507454448</v>
      </c>
      <c r="T85" s="20">
        <v>1.1285524152509188</v>
      </c>
      <c r="U85" s="19">
        <f t="shared" si="6"/>
        <v>1.5799733813512865E-2</v>
      </c>
      <c r="V85" s="22">
        <v>0.95875251509054338</v>
      </c>
      <c r="W85" s="19">
        <f t="shared" si="7"/>
        <v>1.3422535211267607E-2</v>
      </c>
      <c r="X85" s="19">
        <v>2.0873049303414621</v>
      </c>
      <c r="Y85" s="16"/>
      <c r="Z85" s="22">
        <v>81.961031083135822</v>
      </c>
      <c r="AA85" s="22">
        <v>14.563575949367088</v>
      </c>
      <c r="AB85" s="19">
        <v>5.3232681131329089</v>
      </c>
      <c r="AC85" s="22">
        <v>19.886844062499996</v>
      </c>
      <c r="AD85" s="16"/>
      <c r="AE85" s="19">
        <v>0.73232212731175228</v>
      </c>
      <c r="AF85" s="22">
        <v>142.82151162771191</v>
      </c>
      <c r="AG85" s="22">
        <v>23.487951544564329</v>
      </c>
      <c r="AH85" s="22">
        <v>105.44898262770015</v>
      </c>
      <c r="AI85" s="39">
        <f t="shared" si="5"/>
        <v>1.4762857567878021</v>
      </c>
      <c r="AJ85" s="16"/>
      <c r="AK85" s="5">
        <f t="shared" si="2"/>
        <v>1.5055080258125826</v>
      </c>
      <c r="AL85" s="5"/>
      <c r="AM85" s="22">
        <v>6.0806286728211605</v>
      </c>
      <c r="AO85" s="19">
        <f t="shared" si="8"/>
        <v>107.53628755804161</v>
      </c>
      <c r="AP85" s="39">
        <f t="shared" si="9"/>
        <v>1.5055080258125826</v>
      </c>
    </row>
    <row r="86" spans="1:43" s="38" customFormat="1">
      <c r="A86" s="38">
        <v>3</v>
      </c>
      <c r="B86" s="38" t="s">
        <v>44</v>
      </c>
      <c r="C86" s="45" t="s">
        <v>0</v>
      </c>
      <c r="D86" s="36">
        <v>39653</v>
      </c>
      <c r="E86" s="67"/>
      <c r="F86" s="22">
        <v>3.1</v>
      </c>
      <c r="G86" s="22">
        <v>1.2</v>
      </c>
      <c r="H86" s="16"/>
      <c r="I86" s="38">
        <v>2.5</v>
      </c>
      <c r="J86" s="21">
        <v>25.1</v>
      </c>
      <c r="K86" s="22">
        <v>4.3379406673469338</v>
      </c>
      <c r="L86" s="21">
        <v>100</v>
      </c>
      <c r="M86" s="17"/>
      <c r="N86" s="68" t="s">
        <v>63</v>
      </c>
      <c r="O86" s="69">
        <v>1</v>
      </c>
      <c r="P86" s="68" t="s">
        <v>43</v>
      </c>
      <c r="Q86" s="68" t="s">
        <v>47</v>
      </c>
      <c r="R86" s="21">
        <v>31.9</v>
      </c>
      <c r="S86" s="20">
        <v>0.50647355613390577</v>
      </c>
      <c r="T86" s="20">
        <v>0.63121428012213099</v>
      </c>
      <c r="U86" s="19">
        <f t="shared" si="6"/>
        <v>8.8369999217098334E-3</v>
      </c>
      <c r="V86" s="22">
        <v>0.2253</v>
      </c>
      <c r="W86" s="19">
        <f t="shared" si="7"/>
        <v>3.1542000000000002E-3</v>
      </c>
      <c r="X86" s="19">
        <v>0.85651428012213104</v>
      </c>
      <c r="Y86" s="16"/>
      <c r="Z86" s="22">
        <v>27.447560229877869</v>
      </c>
      <c r="AA86" s="22">
        <v>14.437822784810127</v>
      </c>
      <c r="AB86" s="19">
        <v>5.9350062776898715</v>
      </c>
      <c r="AC86" s="22">
        <v>20.372829062499999</v>
      </c>
      <c r="AD86" s="16"/>
      <c r="AE86" s="19">
        <v>0.7086803084891945</v>
      </c>
      <c r="AF86" s="22">
        <v>126.00574956116175</v>
      </c>
      <c r="AG86" s="22">
        <v>20.530133422642805</v>
      </c>
      <c r="AH86" s="22">
        <v>47.977693652520671</v>
      </c>
      <c r="AI86" s="39">
        <f t="shared" si="5"/>
        <v>0.67168771113528936</v>
      </c>
      <c r="AJ86" s="16"/>
      <c r="AK86" s="5">
        <f t="shared" si="2"/>
        <v>0.68367891105699929</v>
      </c>
      <c r="AL86" s="5"/>
      <c r="AM86" s="22">
        <v>6.1376001298749117</v>
      </c>
      <c r="AO86" s="19">
        <f t="shared" si="8"/>
        <v>48.834207932642805</v>
      </c>
      <c r="AP86" s="39">
        <f t="shared" si="9"/>
        <v>0.68367891105699929</v>
      </c>
    </row>
    <row r="87" spans="1:43" s="38" customFormat="1">
      <c r="A87" s="38">
        <v>3</v>
      </c>
      <c r="B87" s="38" t="s">
        <v>43</v>
      </c>
      <c r="C87" s="45" t="s">
        <v>0</v>
      </c>
      <c r="D87" s="36">
        <v>39667</v>
      </c>
      <c r="E87" s="67"/>
      <c r="F87" s="22">
        <v>2.5</v>
      </c>
      <c r="G87" s="22">
        <v>1.5</v>
      </c>
      <c r="H87" s="16"/>
      <c r="I87" s="38">
        <v>0.5</v>
      </c>
      <c r="J87" s="21">
        <v>22.1</v>
      </c>
      <c r="K87" s="22">
        <v>4.7636895806130495</v>
      </c>
      <c r="L87" s="21">
        <v>100</v>
      </c>
      <c r="M87" s="17"/>
      <c r="N87" s="68" t="s">
        <v>66</v>
      </c>
      <c r="O87" s="69">
        <v>2</v>
      </c>
      <c r="P87" s="68" t="s">
        <v>59</v>
      </c>
      <c r="Q87" s="68" t="s">
        <v>67</v>
      </c>
      <c r="R87" s="21">
        <v>30.9</v>
      </c>
      <c r="S87" s="20">
        <v>0.83303661081161928</v>
      </c>
      <c r="T87" s="20">
        <v>0.65208253725640009</v>
      </c>
      <c r="U87" s="19">
        <f t="shared" si="6"/>
        <v>9.1291555215896013E-3</v>
      </c>
      <c r="V87" s="22">
        <v>0.35859999999999997</v>
      </c>
      <c r="W87" s="19">
        <f t="shared" si="7"/>
        <v>5.0203999999999995E-3</v>
      </c>
      <c r="X87" s="19">
        <v>1.0106825372564001</v>
      </c>
      <c r="Y87" s="16"/>
      <c r="Z87" s="22">
        <v>63.166780012743601</v>
      </c>
      <c r="AA87" s="22">
        <v>11.491120253164558</v>
      </c>
      <c r="AB87" s="19">
        <v>3.8473338093354408</v>
      </c>
      <c r="AC87" s="22">
        <v>15.338454062499999</v>
      </c>
      <c r="AD87" s="16"/>
      <c r="AE87" s="19">
        <v>0.74917069258358049</v>
      </c>
      <c r="AF87" s="22">
        <v>108.44376315527116</v>
      </c>
      <c r="AG87" s="22">
        <v>17.520964291660146</v>
      </c>
      <c r="AH87" s="22">
        <v>80.687744304403751</v>
      </c>
      <c r="AI87" s="39">
        <f t="shared" si="5"/>
        <v>1.1296284202616524</v>
      </c>
      <c r="AJ87" s="16"/>
      <c r="AK87" s="5">
        <f t="shared" si="2"/>
        <v>1.143777975783242</v>
      </c>
      <c r="AL87" s="5"/>
      <c r="AM87" s="22">
        <v>6.1893718490648153</v>
      </c>
      <c r="AO87" s="19">
        <f t="shared" si="8"/>
        <v>81.698426841660151</v>
      </c>
      <c r="AP87" s="39">
        <f t="shared" si="9"/>
        <v>1.143777975783242</v>
      </c>
    </row>
    <row r="88" spans="1:43" s="38" customFormat="1">
      <c r="A88" s="38">
        <v>3</v>
      </c>
      <c r="B88" s="38" t="s">
        <v>44</v>
      </c>
      <c r="C88" s="45" t="s">
        <v>0</v>
      </c>
      <c r="D88" s="36">
        <v>39667</v>
      </c>
      <c r="E88" s="67"/>
      <c r="F88" s="22">
        <v>2.5</v>
      </c>
      <c r="G88" s="22">
        <v>1.5</v>
      </c>
      <c r="H88" s="16"/>
      <c r="I88" s="38">
        <v>2</v>
      </c>
      <c r="J88" s="21">
        <v>22.3</v>
      </c>
      <c r="K88" s="22">
        <v>4.3469741046095756</v>
      </c>
      <c r="L88" s="21">
        <v>100</v>
      </c>
      <c r="M88" s="17"/>
      <c r="N88" s="68" t="s">
        <v>66</v>
      </c>
      <c r="O88" s="69">
        <v>2</v>
      </c>
      <c r="P88" s="68" t="s">
        <v>59</v>
      </c>
      <c r="Q88" s="68" t="s">
        <v>67</v>
      </c>
      <c r="R88" s="21">
        <v>30.9</v>
      </c>
      <c r="S88" s="20">
        <v>0.68767580809411566</v>
      </c>
      <c r="T88" s="20">
        <v>0.83091325945739336</v>
      </c>
      <c r="U88" s="19">
        <f t="shared" si="6"/>
        <v>1.1632785632403508E-2</v>
      </c>
      <c r="V88" s="22">
        <v>0.33645821424488392</v>
      </c>
      <c r="W88" s="19">
        <f t="shared" si="7"/>
        <v>4.7104149994283747E-3</v>
      </c>
      <c r="X88" s="19">
        <v>1.1673714737022773</v>
      </c>
      <c r="Y88" s="16"/>
      <c r="Z88" s="22">
        <v>46.717594007605527</v>
      </c>
      <c r="AA88" s="22">
        <v>19.580107594936706</v>
      </c>
      <c r="AB88" s="19">
        <v>4.5919964675632956</v>
      </c>
      <c r="AC88" s="22">
        <v>24.172104062500001</v>
      </c>
      <c r="AD88" s="16"/>
      <c r="AE88" s="19">
        <v>0.81002909570097359</v>
      </c>
      <c r="AF88" s="22">
        <v>143.26872037226562</v>
      </c>
      <c r="AG88" s="22">
        <v>24.145244460546895</v>
      </c>
      <c r="AH88" s="22">
        <v>70.862838468152418</v>
      </c>
      <c r="AI88" s="39">
        <f t="shared" si="5"/>
        <v>0.99207973855413389</v>
      </c>
      <c r="AJ88" s="16"/>
      <c r="AK88" s="5">
        <f t="shared" si="2"/>
        <v>1.0084229391859658</v>
      </c>
      <c r="AL88" s="5"/>
      <c r="AM88" s="22">
        <v>5.9336206186011236</v>
      </c>
      <c r="AO88" s="19">
        <f t="shared" si="8"/>
        <v>72.030209941854693</v>
      </c>
      <c r="AP88" s="39">
        <f t="shared" si="9"/>
        <v>1.0084229391859658</v>
      </c>
    </row>
    <row r="89" spans="1:43" s="38" customFormat="1">
      <c r="A89" s="38">
        <v>3</v>
      </c>
      <c r="B89" s="38" t="s">
        <v>43</v>
      </c>
      <c r="C89" s="45" t="s">
        <v>0</v>
      </c>
      <c r="D89" s="36">
        <v>39686</v>
      </c>
      <c r="E89" s="67"/>
      <c r="F89" s="22">
        <v>3.1</v>
      </c>
      <c r="G89" s="22">
        <v>1.3</v>
      </c>
      <c r="H89" s="16"/>
      <c r="I89" s="38">
        <v>0.5</v>
      </c>
      <c r="J89" s="21">
        <v>23.1</v>
      </c>
      <c r="K89" s="22">
        <v>4.6223626657569383</v>
      </c>
      <c r="L89" s="21">
        <v>99.4</v>
      </c>
      <c r="M89" s="17"/>
      <c r="N89" s="68" t="s">
        <v>63</v>
      </c>
      <c r="O89" s="69">
        <v>1</v>
      </c>
      <c r="P89" s="68" t="s">
        <v>52</v>
      </c>
      <c r="Q89" s="68" t="s">
        <v>63</v>
      </c>
      <c r="R89" s="21">
        <v>31.1</v>
      </c>
      <c r="S89" s="20">
        <v>0.61034801668891725</v>
      </c>
      <c r="T89" s="20">
        <v>1.2240935583983039</v>
      </c>
      <c r="U89" s="19">
        <f t="shared" ref="U89:W104" si="10">T89*0.014</f>
        <v>1.7137309817576257E-2</v>
      </c>
      <c r="V89" s="22">
        <v>1.2141305590488165</v>
      </c>
      <c r="W89" s="19">
        <f t="shared" si="7"/>
        <v>1.699782782668343E-2</v>
      </c>
      <c r="X89" s="19">
        <v>2.4382241174471204</v>
      </c>
      <c r="Y89" s="16"/>
      <c r="Z89" s="22">
        <v>55.760340422552879</v>
      </c>
      <c r="AA89" s="30">
        <v>13.443806329113922</v>
      </c>
      <c r="AB89" s="31">
        <v>0.18024167088607546</v>
      </c>
      <c r="AC89" s="22">
        <v>13.624047999999998</v>
      </c>
      <c r="AD89" s="16"/>
      <c r="AE89" s="31">
        <v>0.98677032913521179</v>
      </c>
      <c r="AF89" s="22">
        <v>116.14817692611406</v>
      </c>
      <c r="AG89" s="22">
        <v>15.764759781769241</v>
      </c>
      <c r="AH89" s="22">
        <v>71.525100204322115</v>
      </c>
      <c r="AI89" s="39">
        <f t="shared" si="5"/>
        <v>1.0013514028605097</v>
      </c>
      <c r="AJ89" s="16"/>
      <c r="AK89" s="5">
        <f t="shared" si="2"/>
        <v>1.0354865405047693</v>
      </c>
      <c r="AL89" s="5"/>
      <c r="AM89" s="22">
        <v>7.3675830481369395</v>
      </c>
      <c r="AO89" s="19">
        <f t="shared" si="8"/>
        <v>73.963324321769235</v>
      </c>
      <c r="AP89" s="39">
        <f t="shared" si="9"/>
        <v>1.0354865405047693</v>
      </c>
    </row>
    <row r="90" spans="1:43" s="38" customFormat="1">
      <c r="A90" s="38">
        <v>3</v>
      </c>
      <c r="B90" s="38" t="s">
        <v>44</v>
      </c>
      <c r="C90" s="45" t="s">
        <v>0</v>
      </c>
      <c r="D90" s="36">
        <v>39686</v>
      </c>
      <c r="E90" s="67"/>
      <c r="F90" s="22">
        <v>3.1</v>
      </c>
      <c r="G90" s="22">
        <v>1.3</v>
      </c>
      <c r="H90" s="16"/>
      <c r="I90" s="38">
        <v>2</v>
      </c>
      <c r="J90" s="21">
        <v>23.2</v>
      </c>
      <c r="K90" s="22">
        <v>4.3495992601465066</v>
      </c>
      <c r="L90" s="21">
        <v>99.4</v>
      </c>
      <c r="M90" s="17"/>
      <c r="N90" s="68" t="s">
        <v>63</v>
      </c>
      <c r="O90" s="69">
        <v>1</v>
      </c>
      <c r="P90" s="68" t="s">
        <v>52</v>
      </c>
      <c r="Q90" s="68" t="s">
        <v>63</v>
      </c>
      <c r="R90" s="21">
        <v>31</v>
      </c>
      <c r="S90" s="20">
        <v>0.81367900744313182</v>
      </c>
      <c r="T90" s="20">
        <v>0.82351828022102702</v>
      </c>
      <c r="U90" s="19">
        <f t="shared" si="10"/>
        <v>1.1529255923094379E-2</v>
      </c>
      <c r="V90" s="22">
        <v>0.13067337372813534</v>
      </c>
      <c r="W90" s="19">
        <f t="shared" si="7"/>
        <v>1.8294272321938948E-3</v>
      </c>
      <c r="X90" s="19">
        <v>0.95419165394916239</v>
      </c>
      <c r="Y90" s="16"/>
      <c r="Z90" s="22">
        <v>29.591969606960049</v>
      </c>
      <c r="AA90" s="30">
        <v>13.327796202531648</v>
      </c>
      <c r="AB90" s="31">
        <v>0.91773979746835721</v>
      </c>
      <c r="AC90" s="22">
        <v>14.245536000000005</v>
      </c>
      <c r="AD90" s="16"/>
      <c r="AE90" s="31">
        <v>0.9355770258508801</v>
      </c>
      <c r="AF90" s="22">
        <v>108.74898963873569</v>
      </c>
      <c r="AG90" s="22">
        <v>15.189628480284497</v>
      </c>
      <c r="AH90" s="22">
        <v>44.781598087244546</v>
      </c>
      <c r="AI90" s="39">
        <f t="shared" si="5"/>
        <v>0.62694237322142365</v>
      </c>
      <c r="AJ90" s="16"/>
      <c r="AK90" s="5">
        <f t="shared" si="2"/>
        <v>0.64030105637671197</v>
      </c>
      <c r="AL90" s="5"/>
      <c r="AM90" s="22">
        <v>7.1594239306041842</v>
      </c>
      <c r="AO90" s="19">
        <f t="shared" si="8"/>
        <v>45.735789741193706</v>
      </c>
      <c r="AP90" s="39">
        <f t="shared" si="9"/>
        <v>0.64030105637671186</v>
      </c>
    </row>
    <row r="91" spans="1:43" s="38" customFormat="1">
      <c r="A91" s="38">
        <v>3</v>
      </c>
      <c r="B91" s="38" t="s">
        <v>43</v>
      </c>
      <c r="C91" s="45" t="s">
        <v>0</v>
      </c>
      <c r="D91" s="36">
        <v>39700</v>
      </c>
      <c r="E91" s="67"/>
      <c r="F91" s="22">
        <v>2</v>
      </c>
      <c r="G91" s="22">
        <v>1.3</v>
      </c>
      <c r="H91" s="16"/>
      <c r="I91" s="38">
        <v>0.5</v>
      </c>
      <c r="J91" s="21">
        <v>23.2</v>
      </c>
      <c r="K91" s="22">
        <v>5.4495414114075471</v>
      </c>
      <c r="L91" s="21">
        <v>100.6</v>
      </c>
      <c r="M91" s="17"/>
      <c r="N91" s="68" t="s">
        <v>63</v>
      </c>
      <c r="O91" s="69">
        <v>2</v>
      </c>
      <c r="P91" s="68" t="s">
        <v>43</v>
      </c>
      <c r="Q91" s="68" t="s">
        <v>63</v>
      </c>
      <c r="R91" s="21">
        <v>30.6</v>
      </c>
      <c r="S91" s="20">
        <v>0.4</v>
      </c>
      <c r="T91" s="20">
        <v>1.709003326069503</v>
      </c>
      <c r="U91" s="19">
        <f t="shared" si="10"/>
        <v>2.3926046564973043E-2</v>
      </c>
      <c r="V91" s="22">
        <v>0.41774322624899962</v>
      </c>
      <c r="W91" s="19">
        <f t="shared" si="7"/>
        <v>5.8484051674859948E-3</v>
      </c>
      <c r="X91" s="19">
        <v>2.1267465523185027</v>
      </c>
      <c r="Y91" s="16"/>
      <c r="Z91" s="22">
        <v>41.274045423713808</v>
      </c>
      <c r="AA91" s="22">
        <v>16.425232424999994</v>
      </c>
      <c r="AB91" s="22">
        <v>8.0641915884687574</v>
      </c>
      <c r="AC91" s="22">
        <v>24.489424013468749</v>
      </c>
      <c r="AD91" s="16"/>
      <c r="AE91" s="22">
        <v>0.67070717612494302</v>
      </c>
      <c r="AF91" s="22">
        <v>92.625412640741274</v>
      </c>
      <c r="AG91" s="22">
        <v>14.00342017097222</v>
      </c>
      <c r="AH91" s="22">
        <v>55.277465594686028</v>
      </c>
      <c r="AI91" s="39">
        <f t="shared" si="5"/>
        <v>0.77388451832560445</v>
      </c>
      <c r="AJ91" s="16"/>
      <c r="AK91" s="5">
        <f t="shared" si="2"/>
        <v>0.80365897005806342</v>
      </c>
      <c r="AL91" s="5"/>
      <c r="AM91" s="22">
        <v>6.6144849979396527</v>
      </c>
      <c r="AO91" s="19">
        <f t="shared" si="8"/>
        <v>57.404212147004529</v>
      </c>
      <c r="AP91" s="39">
        <f t="shared" si="9"/>
        <v>0.80365897005806342</v>
      </c>
    </row>
    <row r="92" spans="1:43" s="49" customFormat="1">
      <c r="A92" s="38">
        <v>3</v>
      </c>
      <c r="B92" s="38" t="s">
        <v>44</v>
      </c>
      <c r="C92" s="45" t="s">
        <v>0</v>
      </c>
      <c r="D92" s="36">
        <v>39700</v>
      </c>
      <c r="E92" s="70"/>
      <c r="F92" s="22">
        <v>2</v>
      </c>
      <c r="G92" s="22">
        <v>1.3</v>
      </c>
      <c r="H92" s="16">
        <f>SUM(G83:G92)/10</f>
        <v>1.2800000000000002</v>
      </c>
      <c r="I92" s="38">
        <v>1.5</v>
      </c>
      <c r="J92" s="21">
        <v>23.3</v>
      </c>
      <c r="K92" s="22">
        <v>4.9751605847580676</v>
      </c>
      <c r="L92" s="21">
        <v>100.6</v>
      </c>
      <c r="M92" s="16">
        <f>SUM(K83:K92)/10</f>
        <v>4.4737873374406103</v>
      </c>
      <c r="N92" s="68" t="s">
        <v>63</v>
      </c>
      <c r="O92" s="69">
        <v>2</v>
      </c>
      <c r="P92" s="68" t="s">
        <v>43</v>
      </c>
      <c r="Q92" s="68" t="s">
        <v>63</v>
      </c>
      <c r="R92" s="21">
        <v>30.5</v>
      </c>
      <c r="S92" s="20">
        <v>0.60141897354408891</v>
      </c>
      <c r="T92" s="20">
        <v>1.3665099208624842</v>
      </c>
      <c r="U92" s="19">
        <f t="shared" si="10"/>
        <v>1.9131138892074781E-2</v>
      </c>
      <c r="V92" s="22">
        <v>0.13376014633588656</v>
      </c>
      <c r="W92" s="19">
        <f t="shared" si="7"/>
        <v>1.872642048702412E-3</v>
      </c>
      <c r="X92" s="19">
        <v>1.5002700671983709</v>
      </c>
      <c r="Y92" s="16">
        <f>SUM(X73:X92)/20</f>
        <v>3.2584932755386689</v>
      </c>
      <c r="Z92" s="22">
        <v>22.977309716571334</v>
      </c>
      <c r="AA92" s="22">
        <v>12.410432474999997</v>
      </c>
      <c r="AB92" s="22">
        <v>11.013643950968758</v>
      </c>
      <c r="AC92" s="22">
        <v>23.424076425968757</v>
      </c>
      <c r="AD92" s="16">
        <f>SUM(AC73:AC92)/20</f>
        <v>17.77746159603668</v>
      </c>
      <c r="AE92" s="22">
        <v>0.52981523152995491</v>
      </c>
      <c r="AF92" s="22">
        <v>86.493918489993391</v>
      </c>
      <c r="AG92" s="22">
        <v>13.510450483985299</v>
      </c>
      <c r="AH92" s="22">
        <v>36.487760200556636</v>
      </c>
      <c r="AI92" s="39">
        <f t="shared" si="5"/>
        <v>0.51082864280779294</v>
      </c>
      <c r="AJ92" s="16">
        <f>SUM(AI73:AI92)/20</f>
        <v>1.0194891719925037</v>
      </c>
      <c r="AK92" s="5">
        <f t="shared" si="2"/>
        <v>0.53183242374857009</v>
      </c>
      <c r="AL92" s="16">
        <f>SUM(AK73:AK92)/20</f>
        <v>1.0651080778500446</v>
      </c>
      <c r="AM92" s="22">
        <v>6.4020010726155672</v>
      </c>
      <c r="AN92" s="22"/>
      <c r="AO92" s="19">
        <f t="shared" si="8"/>
        <v>37.988030267755008</v>
      </c>
      <c r="AP92" s="39">
        <f t="shared" si="9"/>
        <v>0.53183242374857009</v>
      </c>
      <c r="AQ92" s="19"/>
    </row>
    <row r="93" spans="1:43" s="38" customFormat="1">
      <c r="A93" s="38">
        <v>3</v>
      </c>
      <c r="B93" s="38" t="s">
        <v>43</v>
      </c>
      <c r="C93" s="45" t="s">
        <v>0</v>
      </c>
      <c r="D93" s="36">
        <v>40008</v>
      </c>
      <c r="E93" s="46">
        <v>0.34375</v>
      </c>
      <c r="F93" s="38">
        <v>1.9</v>
      </c>
      <c r="G93" s="38">
        <v>1.54</v>
      </c>
      <c r="H93" s="16"/>
      <c r="I93" s="47"/>
      <c r="J93" s="20">
        <v>22.4</v>
      </c>
      <c r="K93" s="19">
        <v>4.7201106321793223</v>
      </c>
      <c r="M93" s="17"/>
      <c r="N93" s="38" t="s">
        <v>63</v>
      </c>
      <c r="O93" s="38">
        <v>2</v>
      </c>
      <c r="P93" s="38" t="s">
        <v>68</v>
      </c>
      <c r="R93" s="21">
        <v>29.5</v>
      </c>
      <c r="S93" s="20">
        <v>0.2</v>
      </c>
      <c r="T93" s="20">
        <v>0.9170623372645117</v>
      </c>
      <c r="U93" s="19">
        <f t="shared" si="10"/>
        <v>1.2838872721703164E-2</v>
      </c>
      <c r="V93" s="22">
        <v>7.4348901498617781E-2</v>
      </c>
      <c r="W93" s="19">
        <f t="shared" si="10"/>
        <v>1.040884620980649E-3</v>
      </c>
      <c r="X93" s="19">
        <v>0.99141123876312953</v>
      </c>
      <c r="Y93" s="16"/>
      <c r="Z93" s="22">
        <v>20.710893725775875</v>
      </c>
      <c r="AA93" s="32">
        <v>20.459360126582276</v>
      </c>
      <c r="AB93" s="32">
        <v>4.3818375452927301</v>
      </c>
      <c r="AC93" s="19">
        <v>24.841197671875005</v>
      </c>
      <c r="AD93" s="16"/>
      <c r="AE93" s="33">
        <v>0.82360602724667298</v>
      </c>
      <c r="AF93" s="22">
        <v>88.398838361959662</v>
      </c>
      <c r="AG93" s="22">
        <v>13.292089802049608</v>
      </c>
      <c r="AH93" s="22">
        <v>34.002983527825485</v>
      </c>
      <c r="AI93" s="39">
        <f t="shared" si="5"/>
        <v>0.47604176938955678</v>
      </c>
      <c r="AJ93" s="16"/>
      <c r="AK93" s="5">
        <f t="shared" si="2"/>
        <v>0.4899215267322406</v>
      </c>
      <c r="AL93" s="5"/>
      <c r="AM93" s="22">
        <v>6.6504845873316905</v>
      </c>
      <c r="AO93" s="19">
        <f t="shared" si="8"/>
        <v>34.994394766588613</v>
      </c>
      <c r="AP93" s="39">
        <f t="shared" si="9"/>
        <v>0.4899215267322406</v>
      </c>
    </row>
    <row r="94" spans="1:43" s="38" customFormat="1">
      <c r="A94" s="38">
        <v>3</v>
      </c>
      <c r="B94" s="38" t="s">
        <v>44</v>
      </c>
      <c r="C94" s="45" t="s">
        <v>0</v>
      </c>
      <c r="D94" s="36">
        <v>40008</v>
      </c>
      <c r="E94" s="38" t="s">
        <v>47</v>
      </c>
      <c r="H94" s="16"/>
      <c r="I94" s="47"/>
      <c r="J94" s="20">
        <v>22.3</v>
      </c>
      <c r="K94" s="19">
        <v>4.4589205928197435</v>
      </c>
      <c r="M94" s="17"/>
      <c r="R94" s="21">
        <v>29.8</v>
      </c>
      <c r="S94" s="20">
        <v>0.4</v>
      </c>
      <c r="T94" s="20">
        <v>1.5442640526880069</v>
      </c>
      <c r="U94" s="19">
        <f t="shared" si="10"/>
        <v>2.1619696737632099E-2</v>
      </c>
      <c r="V94" s="22">
        <v>0.40504874145205882</v>
      </c>
      <c r="W94" s="19">
        <f t="shared" si="10"/>
        <v>5.6706823803288238E-3</v>
      </c>
      <c r="X94" s="19">
        <v>1.9493127941400656</v>
      </c>
      <c r="Y94" s="16"/>
      <c r="Z94" s="22">
        <v>33.516290042739371</v>
      </c>
      <c r="AA94" s="32">
        <v>11.590363291139242</v>
      </c>
      <c r="AB94" s="32">
        <v>3.1998053807357585</v>
      </c>
      <c r="AC94" s="19">
        <v>14.790168671875001</v>
      </c>
      <c r="AD94" s="16"/>
      <c r="AE94" s="33">
        <v>0.78365321912653285</v>
      </c>
      <c r="AF94" s="22">
        <v>91.621344250499135</v>
      </c>
      <c r="AG94" s="22">
        <v>15.371939861016774</v>
      </c>
      <c r="AH94" s="22">
        <v>48.888229903756141</v>
      </c>
      <c r="AI94" s="39">
        <f t="shared" si="5"/>
        <v>0.68443521865258594</v>
      </c>
      <c r="AJ94" s="16"/>
      <c r="AK94" s="5">
        <f t="shared" si="2"/>
        <v>0.711725597770547</v>
      </c>
      <c r="AL94" s="5"/>
      <c r="AM94" s="22">
        <v>5.9602981197480993</v>
      </c>
      <c r="AO94" s="19">
        <f t="shared" si="8"/>
        <v>50.837542697896204</v>
      </c>
      <c r="AP94" s="39">
        <f t="shared" si="9"/>
        <v>0.71172559777054689</v>
      </c>
    </row>
    <row r="95" spans="1:43" s="38" customFormat="1">
      <c r="A95" s="38">
        <v>3</v>
      </c>
      <c r="B95" s="38" t="s">
        <v>43</v>
      </c>
      <c r="C95" s="45" t="s">
        <v>0</v>
      </c>
      <c r="D95" s="36">
        <v>40022</v>
      </c>
      <c r="E95" s="46">
        <v>0.33333333333333331</v>
      </c>
      <c r="F95" s="38">
        <v>3.2</v>
      </c>
      <c r="G95" s="38">
        <v>1.3</v>
      </c>
      <c r="H95" s="16"/>
      <c r="I95" s="47"/>
      <c r="J95" s="20">
        <v>24.4</v>
      </c>
      <c r="K95" s="19">
        <v>4.8166509961856017</v>
      </c>
      <c r="M95" s="17"/>
      <c r="N95" s="38" t="s">
        <v>63</v>
      </c>
      <c r="O95" s="38">
        <v>1</v>
      </c>
      <c r="P95" s="38" t="s">
        <v>69</v>
      </c>
      <c r="R95" s="21">
        <v>30.1</v>
      </c>
      <c r="S95" s="20">
        <v>0.82088405797101438</v>
      </c>
      <c r="T95" s="20">
        <v>1.2298366440890203</v>
      </c>
      <c r="U95" s="19">
        <f t="shared" si="10"/>
        <v>1.7217713017246283E-2</v>
      </c>
      <c r="V95" s="22">
        <v>0.45780590717299574</v>
      </c>
      <c r="W95" s="19">
        <f t="shared" si="10"/>
        <v>6.4092827004219406E-3</v>
      </c>
      <c r="X95" s="19">
        <v>1.6876425512620159</v>
      </c>
      <c r="Y95" s="16"/>
      <c r="Z95" s="22">
        <v>46.030999799295238</v>
      </c>
      <c r="AA95" s="32">
        <v>6.4596341772151886</v>
      </c>
      <c r="AB95" s="32">
        <v>1.593015515493148</v>
      </c>
      <c r="AC95" s="19">
        <v>8.0526496927083357</v>
      </c>
      <c r="AD95" s="16"/>
      <c r="AE95" s="34">
        <v>0.80217498881944149</v>
      </c>
      <c r="AF95" s="22">
        <v>112.76449181750756</v>
      </c>
      <c r="AG95" s="22">
        <v>19.290115990876789</v>
      </c>
      <c r="AH95" s="22">
        <v>65.32111579017203</v>
      </c>
      <c r="AI95" s="39">
        <f t="shared" si="5"/>
        <v>0.91449562106240845</v>
      </c>
      <c r="AJ95" s="16"/>
      <c r="AK95" s="5">
        <f t="shared" ref="AK95:AK116" si="11">SUM(X95+Z95+AG95)*0.014</f>
        <v>0.93812261678007669</v>
      </c>
      <c r="AL95" s="5"/>
      <c r="AM95" s="22">
        <v>5.8457135183033238</v>
      </c>
      <c r="AO95" s="19">
        <f t="shared" si="8"/>
        <v>67.008758341434046</v>
      </c>
      <c r="AP95" s="39">
        <f t="shared" si="9"/>
        <v>0.93812261678007669</v>
      </c>
    </row>
    <row r="96" spans="1:43" s="38" customFormat="1">
      <c r="A96" s="38">
        <v>3</v>
      </c>
      <c r="B96" s="38" t="s">
        <v>44</v>
      </c>
      <c r="C96" s="45" t="s">
        <v>0</v>
      </c>
      <c r="D96" s="36">
        <v>40022</v>
      </c>
      <c r="E96" s="46">
        <v>0.33333333333333331</v>
      </c>
      <c r="H96" s="16"/>
      <c r="I96" s="47"/>
      <c r="J96" s="20">
        <v>24.3</v>
      </c>
      <c r="K96" s="19">
        <v>4.7231096730972268</v>
      </c>
      <c r="M96" s="17"/>
      <c r="R96" s="21">
        <v>29.8</v>
      </c>
      <c r="S96" s="20">
        <v>0.7673478260869564</v>
      </c>
      <c r="T96" s="20">
        <v>1.0515681029085322</v>
      </c>
      <c r="U96" s="19">
        <f t="shared" si="10"/>
        <v>1.4721953440719452E-2</v>
      </c>
      <c r="V96" s="22">
        <v>0.90237159901062125</v>
      </c>
      <c r="W96" s="19">
        <f t="shared" si="10"/>
        <v>1.2633202386148698E-2</v>
      </c>
      <c r="X96" s="19">
        <v>1.9539397019191536</v>
      </c>
      <c r="Y96" s="16"/>
      <c r="Z96" s="22">
        <v>85.997970706512987</v>
      </c>
      <c r="AA96" s="32">
        <v>8.3297310126582271</v>
      </c>
      <c r="AB96" s="32">
        <v>1.836282180050109</v>
      </c>
      <c r="AC96" s="19">
        <v>10.166013192708336</v>
      </c>
      <c r="AD96" s="16"/>
      <c r="AE96" s="34">
        <v>0.81937047048422107</v>
      </c>
      <c r="AF96" s="22">
        <v>107.44830203315522</v>
      </c>
      <c r="AG96" s="22">
        <v>18.57660260022805</v>
      </c>
      <c r="AH96" s="22">
        <v>104.57457330674103</v>
      </c>
      <c r="AI96" s="39">
        <f t="shared" si="5"/>
        <v>1.4640440262943744</v>
      </c>
      <c r="AJ96" s="16"/>
      <c r="AK96" s="5">
        <f t="shared" si="11"/>
        <v>1.4913991821212427</v>
      </c>
      <c r="AL96" s="5"/>
      <c r="AM96" s="22">
        <v>5.7840663519300435</v>
      </c>
      <c r="AO96" s="19">
        <f t="shared" si="8"/>
        <v>106.52851300866018</v>
      </c>
      <c r="AP96" s="39">
        <f t="shared" si="9"/>
        <v>1.4913991821212427</v>
      </c>
    </row>
    <row r="97" spans="1:48" s="38" customFormat="1">
      <c r="A97" s="38">
        <v>3</v>
      </c>
      <c r="B97" s="38" t="s">
        <v>43</v>
      </c>
      <c r="C97" s="45" t="s">
        <v>0</v>
      </c>
      <c r="D97" s="36">
        <v>40037</v>
      </c>
      <c r="E97" s="46">
        <v>0.33333333333333331</v>
      </c>
      <c r="F97" s="38">
        <v>3</v>
      </c>
      <c r="G97" s="38">
        <v>1.4</v>
      </c>
      <c r="H97" s="16"/>
      <c r="I97" s="47"/>
      <c r="J97" s="20">
        <v>25.1</v>
      </c>
      <c r="K97" s="19">
        <v>5.4551110398428113</v>
      </c>
      <c r="M97" s="17"/>
      <c r="N97" s="38" t="s">
        <v>63</v>
      </c>
      <c r="O97" s="38">
        <v>1</v>
      </c>
      <c r="P97" s="38" t="s">
        <v>61</v>
      </c>
      <c r="R97" s="21">
        <v>30.3</v>
      </c>
      <c r="S97" s="20">
        <v>0.61895349605155181</v>
      </c>
      <c r="T97" s="20">
        <v>4.482879866052742</v>
      </c>
      <c r="U97" s="19">
        <f t="shared" si="10"/>
        <v>6.2760318124738396E-2</v>
      </c>
      <c r="V97" s="22">
        <v>0.37775352829914155</v>
      </c>
      <c r="W97" s="19">
        <f t="shared" si="10"/>
        <v>5.2885493961879818E-3</v>
      </c>
      <c r="X97" s="19">
        <v>4.8606333943518836</v>
      </c>
      <c r="Y97" s="16"/>
      <c r="Z97" s="22">
        <v>30.604969442527551</v>
      </c>
      <c r="AA97" s="32">
        <v>4.2582740506329113</v>
      </c>
      <c r="AB97" s="32">
        <v>2.2348381420754229</v>
      </c>
      <c r="AC97" s="19">
        <v>6.4931121927083346</v>
      </c>
      <c r="AD97" s="16"/>
      <c r="AE97" s="34">
        <v>0.65581402634854946</v>
      </c>
      <c r="AF97" s="22">
        <v>89.656401635536042</v>
      </c>
      <c r="AG97" s="22">
        <v>12.652491961246405</v>
      </c>
      <c r="AH97" s="22">
        <v>43.257461403773959</v>
      </c>
      <c r="AI97" s="39">
        <f t="shared" si="5"/>
        <v>0.60560445965283549</v>
      </c>
      <c r="AJ97" s="16"/>
      <c r="AK97" s="5">
        <f t="shared" si="11"/>
        <v>0.67365332717376181</v>
      </c>
      <c r="AL97" s="5"/>
      <c r="AM97" s="22">
        <v>7.0860666744659158</v>
      </c>
      <c r="AO97" s="19">
        <f t="shared" si="8"/>
        <v>48.118094798125846</v>
      </c>
      <c r="AP97" s="39">
        <f t="shared" si="9"/>
        <v>0.67365332717376181</v>
      </c>
    </row>
    <row r="98" spans="1:48" s="38" customFormat="1">
      <c r="A98" s="38">
        <v>3</v>
      </c>
      <c r="B98" s="38" t="s">
        <v>44</v>
      </c>
      <c r="C98" s="45" t="s">
        <v>0</v>
      </c>
      <c r="D98" s="36">
        <v>40037</v>
      </c>
      <c r="E98" s="46">
        <v>0.33333333333333331</v>
      </c>
      <c r="H98" s="16"/>
      <c r="I98" s="47"/>
      <c r="J98" s="20">
        <v>24.9</v>
      </c>
      <c r="K98" s="19">
        <v>1.8757700330873339</v>
      </c>
      <c r="M98" s="17"/>
      <c r="R98" s="21">
        <v>30.4</v>
      </c>
      <c r="S98" s="20">
        <v>0.75835998653973791</v>
      </c>
      <c r="T98" s="20">
        <v>3.7334449560485563</v>
      </c>
      <c r="U98" s="19">
        <f t="shared" si="10"/>
        <v>5.2268229384679787E-2</v>
      </c>
      <c r="V98" s="22">
        <v>0.39343809108104177</v>
      </c>
      <c r="W98" s="19">
        <f t="shared" si="10"/>
        <v>5.5081332751345854E-3</v>
      </c>
      <c r="X98" s="19">
        <v>4.1268830471295983</v>
      </c>
      <c r="Y98" s="16"/>
      <c r="Z98" s="22">
        <v>43.876713710722477</v>
      </c>
      <c r="AA98" s="32">
        <v>5.049839240506329</v>
      </c>
      <c r="AB98" s="32">
        <v>2.0564374522020046</v>
      </c>
      <c r="AC98" s="19">
        <v>7.1062766927083336</v>
      </c>
      <c r="AD98" s="16"/>
      <c r="AE98" s="34">
        <v>0.71061674894926474</v>
      </c>
      <c r="AF98" s="22">
        <v>92.658833951199654</v>
      </c>
      <c r="AG98" s="22">
        <v>15.531255475349486</v>
      </c>
      <c r="AH98" s="22">
        <v>59.407969186071966</v>
      </c>
      <c r="AI98" s="39">
        <f t="shared" si="5"/>
        <v>0.8317115686050075</v>
      </c>
      <c r="AJ98" s="16"/>
      <c r="AK98" s="5">
        <f t="shared" si="11"/>
        <v>0.88948793126482184</v>
      </c>
      <c r="AL98" s="5"/>
      <c r="AM98" s="22">
        <v>5.965959036490232</v>
      </c>
      <c r="AO98" s="19">
        <f t="shared" si="8"/>
        <v>63.534852233201562</v>
      </c>
      <c r="AP98" s="39">
        <f t="shared" si="9"/>
        <v>0.88948793126482184</v>
      </c>
    </row>
    <row r="99" spans="1:48" s="49" customFormat="1">
      <c r="A99" s="38">
        <v>3</v>
      </c>
      <c r="B99" s="38" t="s">
        <v>43</v>
      </c>
      <c r="C99" s="45" t="s">
        <v>0</v>
      </c>
      <c r="D99" s="36">
        <v>40051</v>
      </c>
      <c r="E99" s="46">
        <v>0.33333333333333331</v>
      </c>
      <c r="F99" s="38">
        <v>3.3</v>
      </c>
      <c r="G99" s="38">
        <v>1.35</v>
      </c>
      <c r="H99" s="38"/>
      <c r="I99" s="38"/>
      <c r="J99" s="20">
        <v>26.2</v>
      </c>
      <c r="K99" s="19">
        <v>4.046217937462278</v>
      </c>
      <c r="L99" s="38"/>
      <c r="M99" s="40"/>
      <c r="N99" s="38" t="s">
        <v>63</v>
      </c>
      <c r="O99" s="38">
        <v>1</v>
      </c>
      <c r="P99" s="38" t="s">
        <v>53</v>
      </c>
      <c r="Q99" s="38"/>
      <c r="R99" s="21">
        <v>30.3</v>
      </c>
      <c r="S99" s="20">
        <v>0.78652384117416774</v>
      </c>
      <c r="T99" s="20">
        <v>0.19021927094141322</v>
      </c>
      <c r="U99" s="19">
        <f t="shared" si="10"/>
        <v>2.663069793179785E-3</v>
      </c>
      <c r="V99" s="22">
        <v>0.87079877782627668</v>
      </c>
      <c r="W99" s="19">
        <f t="shared" si="10"/>
        <v>1.2191182889567874E-2</v>
      </c>
      <c r="X99" s="19">
        <v>1.0610180487676899</v>
      </c>
      <c r="Y99" s="48"/>
      <c r="Z99" s="22">
        <v>62.582591964407534</v>
      </c>
      <c r="AA99" s="32">
        <v>6.6425993670886072</v>
      </c>
      <c r="AB99" s="32">
        <v>1.8543283256197274</v>
      </c>
      <c r="AC99" s="19">
        <v>8.4969276927083346</v>
      </c>
      <c r="AD99" s="20"/>
      <c r="AE99" s="34">
        <v>0.78176484575583416</v>
      </c>
      <c r="AF99" s="22">
        <v>69.603222322490765</v>
      </c>
      <c r="AG99" s="22">
        <v>11.702220714745181</v>
      </c>
      <c r="AH99" s="22">
        <v>74.284812679152708</v>
      </c>
      <c r="AI99" s="39">
        <f t="shared" si="5"/>
        <v>1.0399873775081379</v>
      </c>
      <c r="AJ99" s="22"/>
      <c r="AK99" s="5">
        <f t="shared" si="11"/>
        <v>1.0548416301908856</v>
      </c>
      <c r="AL99" s="22"/>
      <c r="AM99" s="22">
        <v>5.9478644283976312</v>
      </c>
      <c r="AN99" s="22"/>
      <c r="AO99" s="19">
        <f t="shared" si="8"/>
        <v>75.345830727920401</v>
      </c>
      <c r="AP99" s="39">
        <f t="shared" si="9"/>
        <v>1.0548416301908856</v>
      </c>
      <c r="AQ99" s="19"/>
      <c r="AR99" s="38"/>
    </row>
    <row r="100" spans="1:48" s="49" customFormat="1">
      <c r="A100" s="38">
        <v>3</v>
      </c>
      <c r="B100" s="38" t="s">
        <v>44</v>
      </c>
      <c r="C100" s="45" t="s">
        <v>0</v>
      </c>
      <c r="D100" s="36">
        <v>40051</v>
      </c>
      <c r="E100" s="46">
        <v>0.33333333333333331</v>
      </c>
      <c r="F100" s="38"/>
      <c r="G100" s="38"/>
      <c r="H100" s="16">
        <f>SUM(G93:G100)/4</f>
        <v>1.3975</v>
      </c>
      <c r="I100" s="38"/>
      <c r="J100" s="20">
        <v>26.2</v>
      </c>
      <c r="K100" s="19">
        <v>2.5681368175598447</v>
      </c>
      <c r="L100" s="38"/>
      <c r="M100" s="16">
        <f>SUM(K93:K100)/8</f>
        <v>4.0830034652792699</v>
      </c>
      <c r="N100" s="38"/>
      <c r="O100" s="38"/>
      <c r="P100" s="38"/>
      <c r="Q100" s="35"/>
      <c r="R100" s="21">
        <v>30.5</v>
      </c>
      <c r="S100" s="20">
        <v>1.4165208365579847</v>
      </c>
      <c r="T100" s="20">
        <v>2.4756865186414885</v>
      </c>
      <c r="U100" s="19">
        <f t="shared" si="10"/>
        <v>3.4659611260980841E-2</v>
      </c>
      <c r="V100" s="22">
        <v>0.38182744071002472</v>
      </c>
      <c r="W100" s="19">
        <f t="shared" si="10"/>
        <v>5.3455841699403461E-3</v>
      </c>
      <c r="X100" s="19">
        <v>2.8575139593515133</v>
      </c>
      <c r="Y100" s="16">
        <f>SUM(X93:X100)/8</f>
        <v>2.4360443419606312</v>
      </c>
      <c r="Z100" s="22">
        <v>30.613408026464086</v>
      </c>
      <c r="AA100" s="32">
        <v>4.4739803797468358</v>
      </c>
      <c r="AB100" s="32">
        <v>2.1165078129614998</v>
      </c>
      <c r="AC100" s="19">
        <v>6.5904881927083352</v>
      </c>
      <c r="AD100" s="16">
        <f>SUM(AC93:AC100)/8</f>
        <v>10.817104250000002</v>
      </c>
      <c r="AE100" s="34">
        <v>0.67885416814748456</v>
      </c>
      <c r="AF100" s="22">
        <v>67.24033628403707</v>
      </c>
      <c r="AG100" s="22">
        <v>12.453028981947924</v>
      </c>
      <c r="AH100" s="22">
        <v>43.066437008412009</v>
      </c>
      <c r="AI100" s="39">
        <f t="shared" si="5"/>
        <v>0.6029301181177682</v>
      </c>
      <c r="AJ100" s="16">
        <f>SUM(AI93:AI100)/8</f>
        <v>0.82740626991033439</v>
      </c>
      <c r="AK100" s="5">
        <f t="shared" si="11"/>
        <v>0.64293531354868938</v>
      </c>
      <c r="AL100" s="16">
        <f>SUM(AK93:AK100)/8</f>
        <v>0.86151089069778319</v>
      </c>
      <c r="AM100" s="22">
        <v>5.3995165659302291</v>
      </c>
      <c r="AN100" s="22"/>
      <c r="AO100" s="19">
        <f t="shared" si="8"/>
        <v>45.923950967763524</v>
      </c>
      <c r="AP100" s="39">
        <f t="shared" si="9"/>
        <v>0.64293531354868938</v>
      </c>
      <c r="AQ100" s="19"/>
      <c r="AR100" s="44"/>
    </row>
    <row r="101" spans="1:48" s="49" customFormat="1">
      <c r="A101" s="38">
        <v>3</v>
      </c>
      <c r="B101" s="38" t="s">
        <v>43</v>
      </c>
      <c r="C101" s="45" t="s">
        <v>0</v>
      </c>
      <c r="D101" s="36">
        <v>40360</v>
      </c>
      <c r="E101" s="46">
        <v>0.34375</v>
      </c>
      <c r="F101" s="37">
        <v>3</v>
      </c>
      <c r="G101" s="37">
        <v>1.4</v>
      </c>
      <c r="H101" s="38"/>
      <c r="I101" s="38">
        <v>0.5</v>
      </c>
      <c r="J101" s="20">
        <v>23.8</v>
      </c>
      <c r="K101" s="19">
        <v>3.8622283837965741</v>
      </c>
      <c r="L101" s="38"/>
      <c r="M101" s="40"/>
      <c r="N101" s="38"/>
      <c r="O101" s="38">
        <v>3</v>
      </c>
      <c r="P101" s="38" t="s">
        <v>54</v>
      </c>
      <c r="Q101" s="38" t="s">
        <v>67</v>
      </c>
      <c r="R101" s="21">
        <v>30.1</v>
      </c>
      <c r="S101" s="20">
        <v>0.15117759388924246</v>
      </c>
      <c r="T101" s="21">
        <v>1.9405844925343207</v>
      </c>
      <c r="U101" s="19">
        <f t="shared" si="10"/>
        <v>2.7168182895480491E-2</v>
      </c>
      <c r="V101" s="50">
        <v>0.58726207906295746</v>
      </c>
      <c r="W101" s="19">
        <f t="shared" si="10"/>
        <v>8.2216691068814039E-3</v>
      </c>
      <c r="X101" s="50">
        <v>2.5278465715972782</v>
      </c>
      <c r="Y101" s="48"/>
      <c r="Z101" s="50">
        <v>39.796551334161883</v>
      </c>
      <c r="AA101" s="22">
        <v>10.780275000000001</v>
      </c>
      <c r="AB101" s="22">
        <v>4.0607045000000008</v>
      </c>
      <c r="AC101" s="22">
        <v>14.840979500000003</v>
      </c>
      <c r="AD101" s="48"/>
      <c r="AE101" s="22">
        <v>0.72638568094511546</v>
      </c>
      <c r="AF101" s="22">
        <v>107.39515647375973</v>
      </c>
      <c r="AG101" s="22">
        <v>16.073765235392294</v>
      </c>
      <c r="AH101" s="22">
        <v>55.870316569554177</v>
      </c>
      <c r="AI101" s="19">
        <f t="shared" si="5"/>
        <v>0.78218443197375853</v>
      </c>
      <c r="AJ101" s="48"/>
      <c r="AK101" s="5">
        <f t="shared" si="11"/>
        <v>0.81757428397612042</v>
      </c>
      <c r="AL101" s="48"/>
      <c r="AM101" s="22">
        <v>6.6813938676477536</v>
      </c>
      <c r="AN101" s="22"/>
      <c r="AO101" s="19">
        <f t="shared" si="8"/>
        <v>58.398163141151457</v>
      </c>
      <c r="AP101" s="39">
        <f t="shared" si="9"/>
        <v>0.81757428397612042</v>
      </c>
      <c r="AQ101" s="19"/>
      <c r="AR101" s="44"/>
    </row>
    <row r="102" spans="1:48" s="49" customFormat="1">
      <c r="A102" s="38">
        <v>3</v>
      </c>
      <c r="B102" s="38" t="s">
        <v>44</v>
      </c>
      <c r="C102" s="45" t="s">
        <v>0</v>
      </c>
      <c r="D102" s="36">
        <v>40360</v>
      </c>
      <c r="E102" s="46">
        <v>0.34375</v>
      </c>
      <c r="F102" s="37"/>
      <c r="G102" s="37"/>
      <c r="H102" s="38"/>
      <c r="I102" s="38">
        <v>2.5</v>
      </c>
      <c r="J102" s="20">
        <v>21.6</v>
      </c>
      <c r="K102" s="19">
        <v>3.9702958122552809</v>
      </c>
      <c r="L102" s="38"/>
      <c r="M102" s="40"/>
      <c r="N102" s="38"/>
      <c r="O102" s="38"/>
      <c r="P102" s="38"/>
      <c r="Q102" s="38"/>
      <c r="R102" s="21">
        <v>30.4</v>
      </c>
      <c r="S102" s="20">
        <v>0.40897517504774039</v>
      </c>
      <c r="T102" s="21">
        <v>0.37131501704618008</v>
      </c>
      <c r="U102" s="19">
        <f t="shared" si="10"/>
        <v>5.1984102386465215E-3</v>
      </c>
      <c r="V102" s="50">
        <v>0.36486090775988284</v>
      </c>
      <c r="W102" s="19">
        <f t="shared" si="10"/>
        <v>5.1080527086383599E-3</v>
      </c>
      <c r="X102" s="50">
        <v>0.73617592480606286</v>
      </c>
      <c r="Y102" s="48"/>
      <c r="Z102" s="50">
        <v>21.94489737362326</v>
      </c>
      <c r="AA102" s="22">
        <v>12.910375000000002</v>
      </c>
      <c r="AB102" s="22">
        <v>4.440631999999999</v>
      </c>
      <c r="AC102" s="22">
        <v>17.351007000000003</v>
      </c>
      <c r="AD102" s="48"/>
      <c r="AE102" s="22">
        <v>0.74407064673537393</v>
      </c>
      <c r="AF102" s="22">
        <v>119.90468511059788</v>
      </c>
      <c r="AG102" s="22">
        <v>19.168361786352872</v>
      </c>
      <c r="AH102" s="22">
        <v>41.113259159976131</v>
      </c>
      <c r="AI102" s="19">
        <f t="shared" si="5"/>
        <v>0.57558562823966586</v>
      </c>
      <c r="AJ102" s="48"/>
      <c r="AK102" s="5">
        <f t="shared" si="11"/>
        <v>0.58589209118695074</v>
      </c>
      <c r="AL102" s="48"/>
      <c r="AM102" s="22">
        <v>6.2553433854720621</v>
      </c>
      <c r="AN102" s="22"/>
      <c r="AO102" s="19">
        <f t="shared" si="8"/>
        <v>41.849435084782193</v>
      </c>
      <c r="AP102" s="39">
        <f t="shared" si="9"/>
        <v>0.58589209118695074</v>
      </c>
      <c r="AQ102" s="19"/>
      <c r="AR102" s="44"/>
    </row>
    <row r="103" spans="1:48" s="49" customFormat="1">
      <c r="A103" s="38">
        <v>3</v>
      </c>
      <c r="B103" s="38" t="s">
        <v>43</v>
      </c>
      <c r="C103" s="45" t="s">
        <v>0</v>
      </c>
      <c r="D103" s="36">
        <v>40374</v>
      </c>
      <c r="E103" s="46">
        <v>0.33680555555555558</v>
      </c>
      <c r="F103" s="37">
        <v>2.25</v>
      </c>
      <c r="G103" s="37">
        <v>1.6</v>
      </c>
      <c r="H103" s="38"/>
      <c r="I103" s="38">
        <v>0.5</v>
      </c>
      <c r="J103" s="20">
        <v>25.5</v>
      </c>
      <c r="K103" s="19">
        <v>5.0030366463147544</v>
      </c>
      <c r="L103" s="38"/>
      <c r="M103" s="40"/>
      <c r="N103" s="38"/>
      <c r="O103" s="38">
        <v>1</v>
      </c>
      <c r="P103" s="38" t="s">
        <v>50</v>
      </c>
      <c r="Q103" s="38" t="s">
        <v>67</v>
      </c>
      <c r="R103" s="21">
        <v>30</v>
      </c>
      <c r="S103" s="20">
        <v>0.67171280674494083</v>
      </c>
      <c r="T103" s="21">
        <v>1.08650391524643</v>
      </c>
      <c r="U103" s="19">
        <f t="shared" si="10"/>
        <v>1.5211054813450021E-2</v>
      </c>
      <c r="V103" s="50">
        <v>0.63645680819912143</v>
      </c>
      <c r="W103" s="19">
        <f t="shared" si="10"/>
        <v>8.9103953147877009E-3</v>
      </c>
      <c r="X103" s="50">
        <v>1.7229607234455515</v>
      </c>
      <c r="Y103" s="48"/>
      <c r="Z103" s="50">
        <v>43.546463360324083</v>
      </c>
      <c r="AA103" s="22">
        <v>10.46255</v>
      </c>
      <c r="AB103" s="22">
        <v>3.8905650000000027</v>
      </c>
      <c r="AC103" s="22">
        <v>14.353115000000003</v>
      </c>
      <c r="AD103" s="48"/>
      <c r="AE103" s="22">
        <v>0.72893932780445214</v>
      </c>
      <c r="AF103" s="22">
        <v>90.391896228972001</v>
      </c>
      <c r="AG103" s="22">
        <v>15.334689429082299</v>
      </c>
      <c r="AH103" s="22">
        <v>58.881152789406386</v>
      </c>
      <c r="AI103" s="19">
        <f t="shared" si="5"/>
        <v>0.82433613905168945</v>
      </c>
      <c r="AJ103" s="48"/>
      <c r="AK103" s="5">
        <f t="shared" si="11"/>
        <v>0.8484575891799272</v>
      </c>
      <c r="AL103" s="48"/>
      <c r="AM103" s="22">
        <v>5.8946023424213214</v>
      </c>
      <c r="AN103" s="22"/>
      <c r="AO103" s="19">
        <f t="shared" si="8"/>
        <v>60.604113512851939</v>
      </c>
      <c r="AP103" s="39">
        <f t="shared" si="9"/>
        <v>0.8484575891799272</v>
      </c>
      <c r="AQ103" s="19"/>
      <c r="AR103" s="44"/>
    </row>
    <row r="104" spans="1:48" s="49" customFormat="1">
      <c r="A104" s="38">
        <v>3</v>
      </c>
      <c r="B104" s="38" t="s">
        <v>44</v>
      </c>
      <c r="C104" s="45" t="s">
        <v>0</v>
      </c>
      <c r="D104" s="36">
        <v>40374</v>
      </c>
      <c r="E104" s="46">
        <v>0.33680555555555558</v>
      </c>
      <c r="F104" s="37"/>
      <c r="G104" s="37"/>
      <c r="H104" s="38"/>
      <c r="I104" s="38">
        <v>1.75</v>
      </c>
      <c r="J104" s="20">
        <v>25.4</v>
      </c>
      <c r="K104" s="19">
        <v>4.4768743218941252</v>
      </c>
      <c r="L104" s="38"/>
      <c r="M104" s="40"/>
      <c r="N104" s="38"/>
      <c r="O104" s="38"/>
      <c r="P104" s="38"/>
      <c r="Q104" s="38"/>
      <c r="R104" s="21">
        <v>30.1</v>
      </c>
      <c r="S104" s="20">
        <v>0.58912957531513466</v>
      </c>
      <c r="T104" s="21">
        <v>1.6138185168125285</v>
      </c>
      <c r="U104" s="19">
        <f t="shared" si="10"/>
        <v>2.2593459235375399E-2</v>
      </c>
      <c r="V104" s="50">
        <v>0.44172767203513907</v>
      </c>
      <c r="W104" s="19">
        <f t="shared" si="10"/>
        <v>6.1841874084919476E-3</v>
      </c>
      <c r="X104" s="50">
        <v>2.0555461888476678</v>
      </c>
      <c r="Y104" s="48"/>
      <c r="Z104" s="50">
        <v>21.980239151466471</v>
      </c>
      <c r="AA104" s="22">
        <v>10.825025</v>
      </c>
      <c r="AB104" s="22">
        <v>3.8710092499999993</v>
      </c>
      <c r="AC104" s="22">
        <v>14.69603425</v>
      </c>
      <c r="AD104" s="48"/>
      <c r="AE104" s="22">
        <v>0.73659497629436999</v>
      </c>
      <c r="AF104" s="22">
        <v>84.985768275363554</v>
      </c>
      <c r="AG104" s="22">
        <v>14.001632453283898</v>
      </c>
      <c r="AH104" s="22">
        <v>35.981871604750367</v>
      </c>
      <c r="AI104" s="19">
        <f t="shared" si="5"/>
        <v>0.50374620246650514</v>
      </c>
      <c r="AJ104" s="48"/>
      <c r="AK104" s="5">
        <f t="shared" si="11"/>
        <v>0.53252384911037254</v>
      </c>
      <c r="AL104" s="48"/>
      <c r="AM104" s="22">
        <v>6.0697042690498035</v>
      </c>
      <c r="AN104" s="22"/>
      <c r="AO104" s="19">
        <f t="shared" si="8"/>
        <v>38.037417793598038</v>
      </c>
      <c r="AP104" s="39">
        <f t="shared" si="9"/>
        <v>0.53252384911037254</v>
      </c>
      <c r="AQ104" s="19"/>
      <c r="AR104" s="44"/>
    </row>
    <row r="105" spans="1:48" s="38" customFormat="1">
      <c r="A105" s="38">
        <v>3</v>
      </c>
      <c r="B105" s="38" t="s">
        <v>43</v>
      </c>
      <c r="C105" s="45" t="s">
        <v>0</v>
      </c>
      <c r="D105" s="36">
        <v>40393</v>
      </c>
      <c r="E105" s="38" t="s">
        <v>47</v>
      </c>
      <c r="F105" s="37">
        <v>3.1</v>
      </c>
      <c r="G105" s="37">
        <v>1.575</v>
      </c>
      <c r="H105" s="16"/>
      <c r="I105" s="38">
        <v>0.5</v>
      </c>
      <c r="J105" s="20">
        <v>24.2</v>
      </c>
      <c r="K105" s="19">
        <v>5.7685811040231219</v>
      </c>
      <c r="L105" s="21"/>
      <c r="M105" s="17"/>
      <c r="N105" s="19"/>
      <c r="O105" s="38">
        <v>4</v>
      </c>
      <c r="P105" s="38" t="s">
        <v>53</v>
      </c>
      <c r="Q105" s="38" t="s">
        <v>63</v>
      </c>
      <c r="R105" s="21">
        <v>30.3</v>
      </c>
      <c r="S105" s="20">
        <v>0.70461954361135426</v>
      </c>
      <c r="T105" s="21">
        <v>0.71276981099912606</v>
      </c>
      <c r="U105" s="19">
        <f t="shared" ref="U105:W120" si="12">T105*0.014</f>
        <v>9.9787773539877656E-3</v>
      </c>
      <c r="V105" s="50">
        <v>0.3500294985250737</v>
      </c>
      <c r="W105" s="19">
        <f t="shared" si="12"/>
        <v>4.9004129793510315E-3</v>
      </c>
      <c r="X105" s="50">
        <v>1.0627993095241997</v>
      </c>
      <c r="Y105" s="16"/>
      <c r="Z105" s="50">
        <v>61.28791062784714</v>
      </c>
      <c r="AA105" s="22">
        <v>10.507300000000001</v>
      </c>
      <c r="AB105" s="22">
        <v>2.824127750000001</v>
      </c>
      <c r="AC105" s="22">
        <v>13.331427750000001</v>
      </c>
      <c r="AD105" s="16"/>
      <c r="AE105" s="22">
        <v>0.78816014286241765</v>
      </c>
      <c r="AF105" s="22">
        <v>105.98166056030799</v>
      </c>
      <c r="AG105" s="22">
        <v>16.667746404880699</v>
      </c>
      <c r="AH105" s="22">
        <v>77.955657032727842</v>
      </c>
      <c r="AI105" s="19">
        <f t="shared" si="5"/>
        <v>1.0913791984581898</v>
      </c>
      <c r="AJ105" s="16"/>
      <c r="AK105" s="5">
        <f t="shared" si="11"/>
        <v>1.1062583887915285</v>
      </c>
      <c r="AL105" s="16"/>
      <c r="AM105" s="22">
        <v>6.3584877034890646</v>
      </c>
      <c r="AO105" s="19">
        <f t="shared" si="8"/>
        <v>79.018456342252037</v>
      </c>
      <c r="AP105" s="39">
        <f t="shared" si="9"/>
        <v>1.1062583887915285</v>
      </c>
    </row>
    <row r="106" spans="1:48" s="38" customFormat="1">
      <c r="A106" s="38">
        <v>3</v>
      </c>
      <c r="B106" s="38" t="s">
        <v>44</v>
      </c>
      <c r="C106" s="45" t="s">
        <v>0</v>
      </c>
      <c r="D106" s="36">
        <v>40393</v>
      </c>
      <c r="E106" s="38" t="s">
        <v>47</v>
      </c>
      <c r="F106" s="37"/>
      <c r="G106" s="37"/>
      <c r="H106" s="16"/>
      <c r="I106" s="38">
        <v>2.5</v>
      </c>
      <c r="J106" s="20">
        <v>24</v>
      </c>
      <c r="K106" s="19">
        <v>4.9543966079129547</v>
      </c>
      <c r="L106" s="21"/>
      <c r="M106" s="17"/>
      <c r="N106" s="19"/>
      <c r="R106" s="21">
        <v>30.5</v>
      </c>
      <c r="S106" s="20">
        <v>0.57214984268335645</v>
      </c>
      <c r="T106" s="21">
        <v>2.9330293409473485</v>
      </c>
      <c r="U106" s="19">
        <f t="shared" si="12"/>
        <v>4.1062410773262878E-2</v>
      </c>
      <c r="V106" s="50">
        <v>0.62684365781710905</v>
      </c>
      <c r="W106" s="19">
        <f t="shared" si="12"/>
        <v>8.7758112094395262E-3</v>
      </c>
      <c r="X106" s="50">
        <v>3.5598729987644573</v>
      </c>
      <c r="Y106" s="16"/>
      <c r="Z106" s="50">
        <v>57.017088416730665</v>
      </c>
      <c r="AA106" s="22">
        <v>13.326550000000001</v>
      </c>
      <c r="AB106" s="22">
        <v>4.5688854999999977</v>
      </c>
      <c r="AC106" s="22">
        <v>17.895435499999998</v>
      </c>
      <c r="AD106" s="16"/>
      <c r="AE106" s="22">
        <v>0.74468989592346058</v>
      </c>
      <c r="AF106" s="22">
        <v>158.28280541382225</v>
      </c>
      <c r="AG106" s="22">
        <v>24.348693741623869</v>
      </c>
      <c r="AH106" s="22">
        <v>81.365782158354534</v>
      </c>
      <c r="AI106" s="19">
        <f t="shared" si="5"/>
        <v>1.1391209502169635</v>
      </c>
      <c r="AJ106" s="16"/>
      <c r="AK106" s="5">
        <f t="shared" si="11"/>
        <v>1.188959172199666</v>
      </c>
      <c r="AL106" s="16"/>
      <c r="AM106" s="22">
        <v>6.5006692799802739</v>
      </c>
      <c r="AO106" s="19">
        <f t="shared" si="8"/>
        <v>84.925655157118996</v>
      </c>
      <c r="AP106" s="39">
        <f t="shared" si="9"/>
        <v>1.188959172199666</v>
      </c>
    </row>
    <row r="107" spans="1:48" s="38" customFormat="1">
      <c r="A107" s="38">
        <v>3</v>
      </c>
      <c r="B107" s="38" t="s">
        <v>43</v>
      </c>
      <c r="C107" s="45" t="s">
        <v>0</v>
      </c>
      <c r="D107" s="36">
        <v>40407</v>
      </c>
      <c r="E107" s="38" t="s">
        <v>47</v>
      </c>
      <c r="F107" s="37">
        <v>3</v>
      </c>
      <c r="G107" s="37">
        <v>1.3</v>
      </c>
      <c r="H107" s="16"/>
      <c r="I107" s="38">
        <v>0.5</v>
      </c>
      <c r="J107" s="20">
        <v>23.5</v>
      </c>
      <c r="K107" s="19"/>
      <c r="L107" s="21"/>
      <c r="M107" s="17"/>
      <c r="N107" s="19"/>
      <c r="O107" s="38">
        <v>1</v>
      </c>
      <c r="P107" s="38" t="s">
        <v>53</v>
      </c>
      <c r="Q107" s="38" t="s">
        <v>73</v>
      </c>
      <c r="R107" s="21">
        <v>30.4</v>
      </c>
      <c r="S107" s="20">
        <v>0.65870180823812974</v>
      </c>
      <c r="T107" s="21">
        <v>4.6240720265360924</v>
      </c>
      <c r="U107" s="19">
        <f t="shared" si="12"/>
        <v>6.4737008371505297E-2</v>
      </c>
      <c r="V107" s="50">
        <v>3.2595870206489672</v>
      </c>
      <c r="W107" s="19">
        <f t="shared" si="12"/>
        <v>4.5634218289085544E-2</v>
      </c>
      <c r="X107" s="50">
        <v>7.8836590471850592</v>
      </c>
      <c r="Y107" s="16"/>
      <c r="Z107" s="50">
        <v>33.773318134963588</v>
      </c>
      <c r="AA107" s="22">
        <v>16.11</v>
      </c>
      <c r="AB107" s="22">
        <v>1.1420200000000031</v>
      </c>
      <c r="AC107" s="22">
        <v>17.252020000000002</v>
      </c>
      <c r="AD107" s="16"/>
      <c r="AE107" s="22">
        <v>0.93380369371238836</v>
      </c>
      <c r="AF107" s="22">
        <v>131.85728522168463</v>
      </c>
      <c r="AG107" s="22">
        <v>22.503646281371989</v>
      </c>
      <c r="AH107" s="22">
        <v>56.276964416335574</v>
      </c>
      <c r="AI107" s="19">
        <f t="shared" si="5"/>
        <v>0.78787750182869809</v>
      </c>
      <c r="AJ107" s="16"/>
      <c r="AK107" s="5">
        <f t="shared" si="11"/>
        <v>0.89824872848928894</v>
      </c>
      <c r="AL107" s="16"/>
      <c r="AM107" s="22">
        <v>5.8593742353137293</v>
      </c>
      <c r="AO107" s="19">
        <f t="shared" si="8"/>
        <v>64.160623463520636</v>
      </c>
      <c r="AP107" s="39">
        <f t="shared" si="9"/>
        <v>0.89824872848928894</v>
      </c>
    </row>
    <row r="108" spans="1:48" s="49" customFormat="1">
      <c r="A108" s="38">
        <v>3</v>
      </c>
      <c r="B108" s="38" t="s">
        <v>44</v>
      </c>
      <c r="C108" s="45" t="s">
        <v>0</v>
      </c>
      <c r="D108" s="36">
        <v>40407</v>
      </c>
      <c r="E108" s="38" t="s">
        <v>47</v>
      </c>
      <c r="F108" s="38"/>
      <c r="G108" s="36"/>
      <c r="H108" s="16">
        <f>SUM(G101:G108)/4</f>
        <v>1.46875</v>
      </c>
      <c r="I108" s="38">
        <v>2.5</v>
      </c>
      <c r="J108" s="20">
        <v>23.4</v>
      </c>
      <c r="K108" s="19">
        <v>3.8492029426937631</v>
      </c>
      <c r="L108" s="48"/>
      <c r="M108" s="16">
        <f>SUM(K101:K108)/7</f>
        <v>4.554945116984368</v>
      </c>
      <c r="N108" s="38"/>
      <c r="O108" s="38"/>
      <c r="P108" s="51"/>
      <c r="Q108" s="51"/>
      <c r="R108" s="21">
        <v>30.6</v>
      </c>
      <c r="S108" s="20">
        <v>0.76207833897169297</v>
      </c>
      <c r="T108" s="21">
        <v>0.76212288737956113</v>
      </c>
      <c r="U108" s="19">
        <f t="shared" si="12"/>
        <v>1.0669720423313857E-2</v>
      </c>
      <c r="V108" s="50">
        <v>0.26477876106194692</v>
      </c>
      <c r="W108" s="19">
        <f t="shared" si="12"/>
        <v>3.706902654867257E-3</v>
      </c>
      <c r="X108" s="50">
        <v>1.0269016484415081</v>
      </c>
      <c r="Y108" s="16">
        <f>SUM(X101:X108)/8</f>
        <v>2.5719703015764734</v>
      </c>
      <c r="Z108" s="50">
        <v>26.44008735869728</v>
      </c>
      <c r="AA108" s="22">
        <v>7.6254000000000008</v>
      </c>
      <c r="AB108" s="22">
        <v>1.2516127500000023</v>
      </c>
      <c r="AC108" s="22">
        <v>8.8770127500000022</v>
      </c>
      <c r="AD108" s="16">
        <f>SUM(AC101:AC108)/8</f>
        <v>14.824628968750003</v>
      </c>
      <c r="AE108" s="22">
        <v>0.85900518730245135</v>
      </c>
      <c r="AF108" s="22">
        <v>96.041951502084515</v>
      </c>
      <c r="AG108" s="22">
        <v>15.662588970747773</v>
      </c>
      <c r="AH108" s="22">
        <v>42.102676329445053</v>
      </c>
      <c r="AI108" s="19">
        <f t="shared" si="5"/>
        <v>0.58943746861223079</v>
      </c>
      <c r="AJ108" s="16">
        <f>SUM(AI101:AI108)/8</f>
        <v>0.78670844010596264</v>
      </c>
      <c r="AK108" s="5">
        <f t="shared" si="11"/>
        <v>0.60381409169041189</v>
      </c>
      <c r="AL108" s="16">
        <f>SUM(AK101:AK108)/8</f>
        <v>0.82271602432803326</v>
      </c>
      <c r="AM108" s="22">
        <v>6.1319333401047054</v>
      </c>
      <c r="AN108" s="22"/>
      <c r="AO108" s="19">
        <f t="shared" si="8"/>
        <v>43.129577977886562</v>
      </c>
      <c r="AP108" s="39">
        <f t="shared" si="9"/>
        <v>0.60381409169041189</v>
      </c>
      <c r="AQ108" s="22"/>
      <c r="AR108" s="22"/>
      <c r="AS108" s="37"/>
      <c r="AT108" s="52"/>
      <c r="AU108" s="52"/>
      <c r="AV108" s="52"/>
    </row>
    <row r="109" spans="1:48" s="49" customFormat="1">
      <c r="A109" s="38">
        <v>3</v>
      </c>
      <c r="B109" s="38" t="s">
        <v>43</v>
      </c>
      <c r="C109" s="45" t="s">
        <v>0</v>
      </c>
      <c r="D109" s="36">
        <v>40731</v>
      </c>
      <c r="E109" s="38" t="s">
        <v>47</v>
      </c>
      <c r="F109" s="38">
        <v>3.5</v>
      </c>
      <c r="G109" s="38">
        <v>1.5</v>
      </c>
      <c r="H109" s="7"/>
      <c r="I109" s="44"/>
      <c r="J109" s="20">
        <v>24.2</v>
      </c>
      <c r="K109" s="19">
        <v>5.3672758086079702</v>
      </c>
      <c r="L109" s="53"/>
      <c r="M109" s="54"/>
      <c r="N109" s="38">
        <v>1</v>
      </c>
      <c r="O109" s="38">
        <v>1</v>
      </c>
      <c r="P109" s="38" t="s">
        <v>53</v>
      </c>
      <c r="Q109" s="38" t="s">
        <v>63</v>
      </c>
      <c r="R109" s="20">
        <v>29.4</v>
      </c>
      <c r="S109" s="20">
        <v>0.15</v>
      </c>
      <c r="T109" s="21">
        <v>1.3182965105544957</v>
      </c>
      <c r="U109" s="19">
        <f t="shared" si="12"/>
        <v>1.8456151147762941E-2</v>
      </c>
      <c r="V109" s="22">
        <v>0.54058624577226611</v>
      </c>
      <c r="W109" s="19">
        <f t="shared" si="12"/>
        <v>7.5682074408117252E-3</v>
      </c>
      <c r="X109" s="22">
        <v>1.8588827563267618</v>
      </c>
      <c r="Y109" s="53"/>
      <c r="Z109" s="22">
        <v>63.528747434693926</v>
      </c>
      <c r="AA109" s="22">
        <v>9.1031696202531656</v>
      </c>
      <c r="AB109" s="22">
        <v>4.4260978797468331</v>
      </c>
      <c r="AC109" s="19">
        <v>13.5292675</v>
      </c>
      <c r="AD109" s="53"/>
      <c r="AE109" s="55">
        <v>0.67285014656212283</v>
      </c>
      <c r="AF109" s="19">
        <v>121.62069623372741</v>
      </c>
      <c r="AG109" s="19">
        <v>17.730470509522753</v>
      </c>
      <c r="AH109" s="19">
        <v>81.259217944216687</v>
      </c>
      <c r="AI109" s="19">
        <f t="shared" si="5"/>
        <v>1.1376290512190337</v>
      </c>
      <c r="AJ109" s="53"/>
      <c r="AK109" s="5">
        <f t="shared" si="11"/>
        <v>1.1636534098076081</v>
      </c>
      <c r="AL109" s="53"/>
      <c r="AM109" s="19">
        <v>6.8594173047131983</v>
      </c>
      <c r="AN109" s="56"/>
      <c r="AO109" s="19">
        <f t="shared" si="8"/>
        <v>83.118100700543451</v>
      </c>
      <c r="AP109" s="39">
        <f t="shared" si="9"/>
        <v>1.1636534098076083</v>
      </c>
      <c r="AQ109" s="56"/>
      <c r="AR109" s="56"/>
      <c r="AS109" s="57"/>
      <c r="AT109" s="52"/>
      <c r="AU109" s="52"/>
      <c r="AV109" s="52"/>
    </row>
    <row r="110" spans="1:48" s="49" customFormat="1">
      <c r="A110" s="38">
        <v>3</v>
      </c>
      <c r="B110" s="38" t="s">
        <v>44</v>
      </c>
      <c r="C110" s="45" t="s">
        <v>0</v>
      </c>
      <c r="D110" s="36">
        <v>40731</v>
      </c>
      <c r="E110" s="38" t="s">
        <v>47</v>
      </c>
      <c r="F110" s="38">
        <v>3.5</v>
      </c>
      <c r="G110" s="38">
        <v>1.5</v>
      </c>
      <c r="H110" s="7"/>
      <c r="I110" s="44"/>
      <c r="J110" s="20">
        <v>24.1</v>
      </c>
      <c r="K110" s="19">
        <v>3.2885007009480738</v>
      </c>
      <c r="L110" s="58"/>
      <c r="M110" s="59"/>
      <c r="N110" s="38">
        <v>1</v>
      </c>
      <c r="O110" s="38">
        <v>1</v>
      </c>
      <c r="P110" s="38" t="s">
        <v>53</v>
      </c>
      <c r="Q110" s="38" t="s">
        <v>63</v>
      </c>
      <c r="R110" s="20">
        <v>29.8</v>
      </c>
      <c r="S110" s="20">
        <v>0.3</v>
      </c>
      <c r="T110" s="21">
        <v>2.6158532832789714</v>
      </c>
      <c r="U110" s="19">
        <f t="shared" si="12"/>
        <v>3.6621945965905602E-2</v>
      </c>
      <c r="V110" s="22">
        <v>6.5600338218714777E-2</v>
      </c>
      <c r="W110" s="19">
        <f t="shared" si="12"/>
        <v>9.1840473506200687E-4</v>
      </c>
      <c r="X110" s="22">
        <v>2.6814536214976861</v>
      </c>
      <c r="Y110" s="53"/>
      <c r="Z110" s="22">
        <v>25.610045735857277</v>
      </c>
      <c r="AA110" s="22">
        <v>9.0052860759493676</v>
      </c>
      <c r="AB110" s="22">
        <v>4.8533414240506323</v>
      </c>
      <c r="AC110" s="19">
        <v>13.858627500000001</v>
      </c>
      <c r="AD110" s="53"/>
      <c r="AE110" s="55">
        <v>0.64979638683191154</v>
      </c>
      <c r="AF110" s="19">
        <v>112.0799719823751</v>
      </c>
      <c r="AG110" s="19">
        <v>17.515327007199335</v>
      </c>
      <c r="AH110" s="19">
        <v>43.125372743056616</v>
      </c>
      <c r="AI110" s="19">
        <f t="shared" si="5"/>
        <v>0.60375521840279267</v>
      </c>
      <c r="AJ110" s="53"/>
      <c r="AK110" s="5">
        <f t="shared" si="11"/>
        <v>0.64129556910376018</v>
      </c>
      <c r="AL110" s="53"/>
      <c r="AM110" s="19">
        <v>6.3989654281822315</v>
      </c>
      <c r="AN110" s="56"/>
      <c r="AO110" s="19">
        <f t="shared" si="8"/>
        <v>45.806826364554304</v>
      </c>
      <c r="AP110" s="39">
        <f t="shared" si="9"/>
        <v>0.64129556910376029</v>
      </c>
      <c r="AQ110" s="56"/>
      <c r="AR110" s="60"/>
      <c r="AS110" s="57"/>
      <c r="AT110" s="52"/>
      <c r="AU110" s="52"/>
      <c r="AV110" s="52"/>
    </row>
    <row r="111" spans="1:48" s="49" customFormat="1">
      <c r="A111" s="38">
        <v>3</v>
      </c>
      <c r="B111" s="38" t="s">
        <v>43</v>
      </c>
      <c r="C111" s="45" t="s">
        <v>0</v>
      </c>
      <c r="D111" s="36">
        <v>40745</v>
      </c>
      <c r="E111" s="46">
        <v>0.36458333333333331</v>
      </c>
      <c r="F111" s="38">
        <v>3</v>
      </c>
      <c r="G111" s="38">
        <v>1.2</v>
      </c>
      <c r="H111" s="38"/>
      <c r="I111" s="38"/>
      <c r="J111" s="20">
        <v>25.2</v>
      </c>
      <c r="K111" s="19">
        <v>4.3691549390723106</v>
      </c>
      <c r="L111" s="38"/>
      <c r="M111" s="38"/>
      <c r="N111" s="38">
        <v>4</v>
      </c>
      <c r="O111" s="38">
        <v>0</v>
      </c>
      <c r="P111" s="38" t="s">
        <v>53</v>
      </c>
      <c r="Q111" s="38" t="s">
        <v>67</v>
      </c>
      <c r="R111" s="20">
        <v>29.3</v>
      </c>
      <c r="S111" s="20">
        <v>7.4999999999999928E-2</v>
      </c>
      <c r="T111" s="21">
        <v>0.73591240121894663</v>
      </c>
      <c r="U111" s="19">
        <f t="shared" si="12"/>
        <v>1.0302773617065253E-2</v>
      </c>
      <c r="V111" s="22">
        <v>0.66981397970687717</v>
      </c>
      <c r="W111" s="19">
        <f t="shared" si="12"/>
        <v>9.3773957158962799E-3</v>
      </c>
      <c r="X111" s="22">
        <v>1.4057263809258238</v>
      </c>
      <c r="Y111" s="19"/>
      <c r="Z111" s="22">
        <v>57.998656901439105</v>
      </c>
      <c r="AA111" s="22">
        <v>5.4762748354430375</v>
      </c>
      <c r="AB111" s="22">
        <v>2.2093280533455708</v>
      </c>
      <c r="AC111" s="19">
        <v>7.6856028887886083</v>
      </c>
      <c r="AD111" s="19"/>
      <c r="AE111" s="55">
        <v>0.71253679310331874</v>
      </c>
      <c r="AF111" s="19">
        <v>121.87176792455249</v>
      </c>
      <c r="AG111" s="19">
        <v>17.763002289107948</v>
      </c>
      <c r="AH111" s="19">
        <v>75.76165919054705</v>
      </c>
      <c r="AI111" s="19">
        <f t="shared" si="5"/>
        <v>1.0606632286676587</v>
      </c>
      <c r="AJ111" s="19"/>
      <c r="AK111" s="5">
        <f t="shared" si="11"/>
        <v>1.0803433980006203</v>
      </c>
      <c r="AL111" s="19"/>
      <c r="AM111" s="19">
        <v>6.8609892596412454</v>
      </c>
      <c r="AN111" s="38"/>
      <c r="AO111" s="19">
        <f t="shared" si="8"/>
        <v>77.167385571472877</v>
      </c>
      <c r="AP111" s="39">
        <f t="shared" si="9"/>
        <v>1.0803433980006203</v>
      </c>
      <c r="AQ111" s="38"/>
      <c r="AR111" s="38"/>
      <c r="AS111" s="52"/>
      <c r="AT111" s="52"/>
      <c r="AU111" s="52"/>
      <c r="AV111" s="52"/>
    </row>
    <row r="112" spans="1:48" s="49" customFormat="1">
      <c r="A112" s="38">
        <v>3</v>
      </c>
      <c r="B112" s="38" t="s">
        <v>44</v>
      </c>
      <c r="C112" s="45" t="s">
        <v>0</v>
      </c>
      <c r="D112" s="36">
        <v>40745</v>
      </c>
      <c r="E112" s="46">
        <v>0.36458333333333331</v>
      </c>
      <c r="F112" s="38">
        <v>3</v>
      </c>
      <c r="G112" s="38">
        <v>1.2</v>
      </c>
      <c r="H112" s="38"/>
      <c r="I112" s="38"/>
      <c r="J112" s="20">
        <v>25.3</v>
      </c>
      <c r="K112" s="19">
        <v>3.5337523975241938</v>
      </c>
      <c r="L112" s="38"/>
      <c r="M112" s="38"/>
      <c r="N112" s="38">
        <v>4</v>
      </c>
      <c r="O112" s="38">
        <v>0</v>
      </c>
      <c r="P112" s="38" t="s">
        <v>53</v>
      </c>
      <c r="Q112" s="38" t="s">
        <v>67</v>
      </c>
      <c r="R112" s="20">
        <v>29.6</v>
      </c>
      <c r="S112" s="20">
        <v>0.25</v>
      </c>
      <c r="T112" s="21">
        <v>0.48086359175662552</v>
      </c>
      <c r="U112" s="19">
        <f t="shared" si="12"/>
        <v>6.7320902845927578E-3</v>
      </c>
      <c r="V112" s="22">
        <v>6.0667981961668546E-2</v>
      </c>
      <c r="W112" s="19">
        <f t="shared" si="12"/>
        <v>8.4935174746335969E-4</v>
      </c>
      <c r="X112" s="22">
        <v>0.54153157371829408</v>
      </c>
      <c r="Y112" s="19"/>
      <c r="Z112" s="22">
        <v>21.228228653201878</v>
      </c>
      <c r="AA112" s="22">
        <v>7.4390537924050637</v>
      </c>
      <c r="AB112" s="22">
        <v>1.827934676575951</v>
      </c>
      <c r="AC112" s="19">
        <v>9.2669884689810154</v>
      </c>
      <c r="AD112" s="19"/>
      <c r="AE112" s="55">
        <v>0.80274771219425622</v>
      </c>
      <c r="AF112" s="19">
        <v>114.6848407746851</v>
      </c>
      <c r="AG112" s="19">
        <v>18.456362951333727</v>
      </c>
      <c r="AH112" s="19">
        <v>39.684591604535605</v>
      </c>
      <c r="AI112" s="19">
        <f t="shared" si="5"/>
        <v>0.55558428246349845</v>
      </c>
      <c r="AJ112" s="19"/>
      <c r="AK112" s="5">
        <f t="shared" si="11"/>
        <v>0.56316572449555458</v>
      </c>
      <c r="AL112" s="19"/>
      <c r="AM112" s="19">
        <v>6.2138375300209159</v>
      </c>
      <c r="AN112" s="38"/>
      <c r="AO112" s="19">
        <f t="shared" si="8"/>
        <v>40.2261231782539</v>
      </c>
      <c r="AP112" s="39">
        <f t="shared" si="9"/>
        <v>0.56316572449555458</v>
      </c>
      <c r="AQ112" s="38"/>
      <c r="AR112" s="38"/>
      <c r="AS112" s="52"/>
      <c r="AT112" s="52"/>
      <c r="AU112" s="52"/>
      <c r="AV112" s="52"/>
    </row>
    <row r="113" spans="1:48" s="49" customFormat="1">
      <c r="A113" s="38">
        <v>3</v>
      </c>
      <c r="B113" s="38" t="s">
        <v>43</v>
      </c>
      <c r="C113" s="45" t="s">
        <v>0</v>
      </c>
      <c r="D113" s="36">
        <v>40759</v>
      </c>
      <c r="E113" s="46">
        <v>0.375</v>
      </c>
      <c r="F113" s="38">
        <v>2.9</v>
      </c>
      <c r="G113" s="38">
        <v>1.85</v>
      </c>
      <c r="H113" s="38"/>
      <c r="I113" s="61"/>
      <c r="J113" s="20">
        <v>24.8</v>
      </c>
      <c r="K113" s="19">
        <v>4.3392171307396668</v>
      </c>
      <c r="L113" s="38"/>
      <c r="M113" s="38"/>
      <c r="N113" s="38">
        <v>3</v>
      </c>
      <c r="O113" s="38">
        <v>1</v>
      </c>
      <c r="P113" s="38" t="s">
        <v>50</v>
      </c>
      <c r="Q113" s="38" t="s">
        <v>63</v>
      </c>
      <c r="R113" s="20">
        <v>29.4</v>
      </c>
      <c r="S113" s="20">
        <v>0.3</v>
      </c>
      <c r="T113" s="21">
        <v>0.78276315789473516</v>
      </c>
      <c r="U113" s="19">
        <f t="shared" si="12"/>
        <v>1.0958684210526292E-2</v>
      </c>
      <c r="V113" s="22">
        <v>0.05</v>
      </c>
      <c r="W113" s="19">
        <f t="shared" si="12"/>
        <v>7.000000000000001E-4</v>
      </c>
      <c r="X113" s="22">
        <v>0.80776315789473518</v>
      </c>
      <c r="Y113" s="19"/>
      <c r="Z113" s="22">
        <v>21.261159414458234</v>
      </c>
      <c r="AA113" s="22">
        <v>6.5167841620253171</v>
      </c>
      <c r="AB113" s="22">
        <v>0.3769744672797477</v>
      </c>
      <c r="AC113" s="19">
        <v>6.893758629305065</v>
      </c>
      <c r="AD113" s="19"/>
      <c r="AE113" s="55">
        <v>0.94531655551773364</v>
      </c>
      <c r="AF113" s="19">
        <v>108.47081642676483</v>
      </c>
      <c r="AG113" s="19">
        <v>18.418626087014907</v>
      </c>
      <c r="AH113" s="19">
        <v>39.679785501473141</v>
      </c>
      <c r="AI113" s="19">
        <f t="shared" si="5"/>
        <v>0.55551699702062396</v>
      </c>
      <c r="AJ113" s="19"/>
      <c r="AK113" s="5">
        <f t="shared" si="11"/>
        <v>0.56682568123115029</v>
      </c>
      <c r="AL113" s="19"/>
      <c r="AM113" s="19">
        <v>5.8891915126740386</v>
      </c>
      <c r="AN113" s="38"/>
      <c r="AO113" s="19">
        <f t="shared" si="8"/>
        <v>40.487548659367874</v>
      </c>
      <c r="AP113" s="39">
        <f t="shared" si="9"/>
        <v>0.56682568123115029</v>
      </c>
      <c r="AQ113" s="38"/>
      <c r="AR113" s="38"/>
      <c r="AS113" s="52"/>
      <c r="AT113" s="52"/>
      <c r="AU113" s="52"/>
      <c r="AV113" s="52"/>
    </row>
    <row r="114" spans="1:48" s="49" customFormat="1">
      <c r="A114" s="38">
        <v>3</v>
      </c>
      <c r="B114" s="38" t="s">
        <v>44</v>
      </c>
      <c r="C114" s="45" t="s">
        <v>0</v>
      </c>
      <c r="D114" s="36">
        <v>40759</v>
      </c>
      <c r="E114" s="46">
        <v>0.375</v>
      </c>
      <c r="F114" s="38">
        <v>2.9</v>
      </c>
      <c r="G114" s="38">
        <v>1.85</v>
      </c>
      <c r="H114" s="38"/>
      <c r="I114" s="61"/>
      <c r="J114" s="20">
        <v>25.1</v>
      </c>
      <c r="K114" s="19">
        <v>3.6723092941077655</v>
      </c>
      <c r="L114" s="38"/>
      <c r="M114" s="38"/>
      <c r="N114" s="38">
        <v>3</v>
      </c>
      <c r="O114" s="38">
        <v>1</v>
      </c>
      <c r="P114" s="38" t="s">
        <v>50</v>
      </c>
      <c r="Q114" s="38" t="s">
        <v>63</v>
      </c>
      <c r="R114" s="20">
        <v>29.4</v>
      </c>
      <c r="S114" s="20">
        <v>0.42499999999999999</v>
      </c>
      <c r="T114" s="21">
        <v>6.7730851965067203</v>
      </c>
      <c r="U114" s="19">
        <f t="shared" si="12"/>
        <v>9.482319275109409E-2</v>
      </c>
      <c r="V114" s="22">
        <v>1.1828000000000001</v>
      </c>
      <c r="W114" s="19">
        <f t="shared" si="12"/>
        <v>1.6559200000000003E-2</v>
      </c>
      <c r="X114" s="22">
        <v>7.9558851965067205</v>
      </c>
      <c r="Y114" s="19"/>
      <c r="Z114" s="22">
        <v>25.87011480349328</v>
      </c>
      <c r="AA114" s="22">
        <v>7.8883646379746839</v>
      </c>
      <c r="AB114" s="22">
        <v>0.10503584012025313</v>
      </c>
      <c r="AC114" s="19">
        <v>7.9934004780949373</v>
      </c>
      <c r="AD114" s="19"/>
      <c r="AE114" s="55">
        <v>0.98685968000626356</v>
      </c>
      <c r="AF114" s="19">
        <v>117.22694164428884</v>
      </c>
      <c r="AG114" s="19">
        <v>20.932031377767039</v>
      </c>
      <c r="AH114" s="19">
        <v>46.802146181260319</v>
      </c>
      <c r="AI114" s="19">
        <f t="shared" si="5"/>
        <v>0.65523004653764449</v>
      </c>
      <c r="AJ114" s="19"/>
      <c r="AK114" s="5">
        <f t="shared" si="11"/>
        <v>0.76661243928873857</v>
      </c>
      <c r="AL114" s="19"/>
      <c r="AM114" s="19">
        <v>5.6003614522000698</v>
      </c>
      <c r="AN114" s="38"/>
      <c r="AO114" s="19">
        <f t="shared" si="8"/>
        <v>54.75803137776704</v>
      </c>
      <c r="AP114" s="39">
        <f t="shared" si="9"/>
        <v>0.76661243928873857</v>
      </c>
      <c r="AQ114" s="38"/>
      <c r="AR114" s="38"/>
      <c r="AS114" s="52"/>
      <c r="AT114" s="52"/>
      <c r="AU114" s="52"/>
      <c r="AV114" s="52"/>
    </row>
    <row r="115" spans="1:48" s="49" customFormat="1">
      <c r="A115" s="38">
        <v>3</v>
      </c>
      <c r="B115" s="38" t="s">
        <v>43</v>
      </c>
      <c r="C115" s="45" t="s">
        <v>0</v>
      </c>
      <c r="D115" s="36">
        <v>40773</v>
      </c>
      <c r="E115" s="38" t="s">
        <v>47</v>
      </c>
      <c r="F115" s="38">
        <v>3</v>
      </c>
      <c r="G115" s="38">
        <v>1.1000000000000001</v>
      </c>
      <c r="H115" s="38"/>
      <c r="I115" s="61"/>
      <c r="J115" s="20">
        <v>23.9</v>
      </c>
      <c r="K115" s="19">
        <v>6.159555630164788</v>
      </c>
      <c r="L115" s="38"/>
      <c r="M115" s="38"/>
      <c r="N115" s="38">
        <v>2</v>
      </c>
      <c r="O115" s="38">
        <v>2</v>
      </c>
      <c r="P115" s="38" t="s">
        <v>53</v>
      </c>
      <c r="Q115" s="38" t="s">
        <v>63</v>
      </c>
      <c r="R115" s="20">
        <v>29.4</v>
      </c>
      <c r="S115" s="20">
        <v>9.9999999999999936E-2</v>
      </c>
      <c r="T115" s="21">
        <v>5.6680072990152546</v>
      </c>
      <c r="U115" s="19">
        <f t="shared" si="12"/>
        <v>7.9352102186213566E-2</v>
      </c>
      <c r="V115" s="22">
        <v>5.9188275084554674E-2</v>
      </c>
      <c r="W115" s="19">
        <f t="shared" si="12"/>
        <v>8.2863585118376549E-4</v>
      </c>
      <c r="X115" s="22">
        <v>5.7271955740998095</v>
      </c>
      <c r="Y115" s="19"/>
      <c r="Z115" s="22">
        <v>23.162628474120726</v>
      </c>
      <c r="AA115" s="22">
        <v>16.449269198312241</v>
      </c>
      <c r="AB115" s="22">
        <v>1.2995354683544316</v>
      </c>
      <c r="AC115" s="19">
        <v>17.748804666666672</v>
      </c>
      <c r="AD115" s="19"/>
      <c r="AE115" s="55">
        <v>0.92678180346448691</v>
      </c>
      <c r="AF115" s="19">
        <v>165.55824212811316</v>
      </c>
      <c r="AG115" s="19">
        <v>19.396531381345852</v>
      </c>
      <c r="AH115" s="19">
        <v>42.559159855466575</v>
      </c>
      <c r="AI115" s="19">
        <f t="shared" si="5"/>
        <v>0.59582823797653206</v>
      </c>
      <c r="AJ115" s="19"/>
      <c r="AK115" s="5">
        <f t="shared" si="11"/>
        <v>0.6760089760139294</v>
      </c>
      <c r="AL115" s="19"/>
      <c r="AM115" s="19">
        <v>8.5354561015653978</v>
      </c>
      <c r="AN115" s="38"/>
      <c r="AO115" s="19">
        <f t="shared" si="8"/>
        <v>48.286355429566385</v>
      </c>
      <c r="AP115" s="39">
        <f t="shared" si="9"/>
        <v>0.6760089760139294</v>
      </c>
      <c r="AQ115" s="90" t="s">
        <v>76</v>
      </c>
      <c r="AR115" s="38"/>
      <c r="AS115" s="52"/>
      <c r="AT115" s="52"/>
      <c r="AU115" s="52"/>
      <c r="AV115" s="52"/>
    </row>
    <row r="116" spans="1:48" s="49" customFormat="1">
      <c r="A116" s="38">
        <v>3</v>
      </c>
      <c r="B116" s="38" t="s">
        <v>44</v>
      </c>
      <c r="C116" s="45" t="s">
        <v>0</v>
      </c>
      <c r="D116" s="36">
        <v>40773</v>
      </c>
      <c r="E116" s="38" t="s">
        <v>47</v>
      </c>
      <c r="F116" s="38">
        <v>3</v>
      </c>
      <c r="G116" s="38">
        <v>1.1000000000000001</v>
      </c>
      <c r="H116" s="16">
        <f>SUM(G109:G116)/8</f>
        <v>1.4124999999999999</v>
      </c>
      <c r="I116" s="61"/>
      <c r="J116" s="20">
        <v>23.9</v>
      </c>
      <c r="K116" s="19">
        <v>6.2066933272466001</v>
      </c>
      <c r="L116" s="38"/>
      <c r="M116" s="16">
        <f>SUM(K109:K116)/8</f>
        <v>4.6170574035514207</v>
      </c>
      <c r="N116" s="38">
        <v>2</v>
      </c>
      <c r="O116" s="38">
        <v>2</v>
      </c>
      <c r="P116" s="38" t="s">
        <v>53</v>
      </c>
      <c r="Q116" s="38" t="s">
        <v>63</v>
      </c>
      <c r="R116" s="20">
        <v>29.5</v>
      </c>
      <c r="S116" s="20">
        <v>0.17499999999999999</v>
      </c>
      <c r="T116" s="21">
        <v>0.86467078184457313</v>
      </c>
      <c r="U116" s="19">
        <f t="shared" si="12"/>
        <v>1.2105390945824024E-2</v>
      </c>
      <c r="V116" s="22">
        <v>1.0624</v>
      </c>
      <c r="W116" s="19">
        <f t="shared" si="12"/>
        <v>1.4873600000000001E-2</v>
      </c>
      <c r="X116" s="22">
        <v>1.9270707818445731</v>
      </c>
      <c r="Y116" s="16">
        <f>SUM(X109:X116)/8</f>
        <v>2.8631886303518006</v>
      </c>
      <c r="Z116" s="22">
        <v>104.59542921815542</v>
      </c>
      <c r="AA116" s="22">
        <v>19.67821772151899</v>
      </c>
      <c r="AB116" s="22">
        <v>2.4429602784810105</v>
      </c>
      <c r="AC116" s="19">
        <v>22.121178</v>
      </c>
      <c r="AD116" s="16">
        <f>SUM(AC109:AC116)/8</f>
        <v>12.387203516479538</v>
      </c>
      <c r="AE116" s="55">
        <v>0.88956463898617832</v>
      </c>
      <c r="AF116" s="19">
        <v>156.39412541299842</v>
      </c>
      <c r="AG116" s="19">
        <v>20.406968455261996</v>
      </c>
      <c r="AH116" s="19">
        <v>125.00239767341742</v>
      </c>
      <c r="AI116" s="19">
        <f>AH116*0.014</f>
        <v>1.750033567427844</v>
      </c>
      <c r="AJ116" s="16">
        <f>SUM(AI109:AI116)/8</f>
        <v>0.86428007871445356</v>
      </c>
      <c r="AK116" s="5">
        <f t="shared" si="11"/>
        <v>1.777012558373668</v>
      </c>
      <c r="AL116" s="16">
        <f>SUM(AK109:AK116)/8</f>
        <v>0.9043647195393788</v>
      </c>
      <c r="AM116" s="19">
        <v>7.6637608254190122</v>
      </c>
      <c r="AN116" s="38"/>
      <c r="AO116" s="19">
        <f t="shared" si="8"/>
        <v>126.929468455262</v>
      </c>
      <c r="AP116" s="39">
        <f>AO116*0.014</f>
        <v>1.777012558373668</v>
      </c>
      <c r="AQ116" s="96" t="s">
        <v>42</v>
      </c>
      <c r="AR116" s="38"/>
      <c r="AS116" s="52"/>
      <c r="AT116" s="52"/>
      <c r="AU116" s="52"/>
      <c r="AV116" s="52"/>
    </row>
    <row r="117" spans="1:48">
      <c r="A117" s="1">
        <v>3</v>
      </c>
      <c r="B117" s="1" t="s">
        <v>43</v>
      </c>
      <c r="C117" s="45" t="s">
        <v>0</v>
      </c>
      <c r="D117" s="18">
        <v>41101</v>
      </c>
      <c r="E117" s="74">
        <v>0.35416666666666669</v>
      </c>
      <c r="F117" s="3">
        <v>3.6</v>
      </c>
      <c r="G117" s="3">
        <v>1.1000000000000001</v>
      </c>
      <c r="H117" s="23"/>
      <c r="I117" s="1">
        <v>0.5</v>
      </c>
      <c r="J117" s="4">
        <v>25.1</v>
      </c>
      <c r="K117" s="3">
        <v>5.0281204990341077</v>
      </c>
      <c r="N117" s="71">
        <v>2</v>
      </c>
      <c r="O117" s="1">
        <v>2</v>
      </c>
      <c r="P117" s="71" t="s">
        <v>53</v>
      </c>
      <c r="Q117" s="71" t="s">
        <v>62</v>
      </c>
      <c r="R117" s="75">
        <v>31.1</v>
      </c>
      <c r="S117" s="76">
        <v>0.2</v>
      </c>
      <c r="T117" s="76">
        <v>1.488817641538942</v>
      </c>
      <c r="U117" s="39">
        <f t="shared" si="12"/>
        <v>2.084344698154519E-2</v>
      </c>
      <c r="V117" s="23">
        <v>0.35527527158902594</v>
      </c>
      <c r="W117" s="39">
        <f t="shared" si="12"/>
        <v>4.9738538022463634E-3</v>
      </c>
      <c r="X117" s="3">
        <v>1.844092913127968</v>
      </c>
      <c r="Z117" s="3">
        <v>19.350655482684257</v>
      </c>
      <c r="AA117" s="77">
        <v>12.241991265822785</v>
      </c>
      <c r="AB117" s="77">
        <v>4.8141889362605479</v>
      </c>
      <c r="AC117" s="79">
        <v>17.056180202083333</v>
      </c>
      <c r="AE117" s="78">
        <v>0.71774518800683651</v>
      </c>
      <c r="AF117" s="3">
        <v>132.20676911252554</v>
      </c>
      <c r="AG117" s="3">
        <v>19.414005560577198</v>
      </c>
      <c r="AH117" s="3">
        <v>38.764661043261455</v>
      </c>
      <c r="AI117" s="39">
        <f t="shared" ref="AI117:AI140" si="13">AH117*0.014</f>
        <v>0.54270525460566044</v>
      </c>
      <c r="AM117" s="3">
        <v>6.8098656251026073</v>
      </c>
      <c r="AO117" s="3">
        <v>42.452846869517401</v>
      </c>
      <c r="AP117" s="39">
        <f t="shared" ref="AP117:AP140" si="14">AO117*0.014</f>
        <v>0.59433985617324359</v>
      </c>
      <c r="AQ117" s="3">
        <v>21.194748395812226</v>
      </c>
    </row>
    <row r="118" spans="1:48">
      <c r="A118" s="1">
        <v>3</v>
      </c>
      <c r="B118" s="1" t="s">
        <v>44</v>
      </c>
      <c r="C118" s="45" t="s">
        <v>0</v>
      </c>
      <c r="D118" s="18">
        <v>41101</v>
      </c>
      <c r="E118" s="74">
        <v>0.35416666666666669</v>
      </c>
      <c r="F118" s="3">
        <v>3.6</v>
      </c>
      <c r="G118" s="3">
        <v>1.1000000000000001</v>
      </c>
      <c r="H118" s="23"/>
      <c r="I118" s="1">
        <v>2.6</v>
      </c>
      <c r="J118" s="4">
        <v>25.5</v>
      </c>
      <c r="K118" s="3">
        <v>5.1144867205300999</v>
      </c>
      <c r="N118" s="71">
        <v>2</v>
      </c>
      <c r="O118" s="1">
        <v>2</v>
      </c>
      <c r="P118" s="71" t="s">
        <v>53</v>
      </c>
      <c r="Q118" s="71" t="s">
        <v>62</v>
      </c>
      <c r="R118" s="75">
        <v>31.1</v>
      </c>
      <c r="S118" s="76">
        <v>0.45</v>
      </c>
      <c r="T118" s="76">
        <v>0.62855802314669851</v>
      </c>
      <c r="U118" s="39">
        <f t="shared" si="12"/>
        <v>8.7998123240537792E-3</v>
      </c>
      <c r="V118" s="23">
        <v>0.35545939974222052</v>
      </c>
      <c r="W118" s="39">
        <f t="shared" si="12"/>
        <v>4.9764315963910875E-3</v>
      </c>
      <c r="X118" s="3">
        <v>0.98401742288891902</v>
      </c>
      <c r="Z118" s="3">
        <v>42.7221291492151</v>
      </c>
      <c r="AA118" s="77">
        <v>8.1134468987341748</v>
      </c>
      <c r="AB118" s="77">
        <v>3.5983303033491607</v>
      </c>
      <c r="AC118" s="79">
        <v>11.711777202083336</v>
      </c>
      <c r="AE118" s="78">
        <v>0.69275966906977393</v>
      </c>
      <c r="AF118" s="3">
        <v>138.02976950305285</v>
      </c>
      <c r="AG118" s="3">
        <v>21.957787908823896</v>
      </c>
      <c r="AH118" s="3">
        <v>64.679917058038995</v>
      </c>
      <c r="AI118" s="39">
        <f t="shared" si="13"/>
        <v>0.90551883881254591</v>
      </c>
      <c r="AM118" s="3">
        <v>6.2861418498165103</v>
      </c>
      <c r="AO118" s="3">
        <v>66.647951903816832</v>
      </c>
      <c r="AP118" s="39">
        <f t="shared" si="14"/>
        <v>0.93307132665343562</v>
      </c>
      <c r="AQ118" s="3">
        <v>43.706146572104018</v>
      </c>
    </row>
    <row r="119" spans="1:48">
      <c r="A119" s="1">
        <v>9</v>
      </c>
      <c r="B119" s="1" t="s">
        <v>65</v>
      </c>
      <c r="C119" s="45" t="s">
        <v>0</v>
      </c>
      <c r="D119" s="18">
        <v>41101</v>
      </c>
      <c r="E119" s="80">
        <v>0.35416666666666669</v>
      </c>
      <c r="F119" s="3">
        <v>2.5</v>
      </c>
      <c r="G119" s="3">
        <v>1</v>
      </c>
      <c r="H119" s="23"/>
      <c r="I119" s="1">
        <v>1.25</v>
      </c>
      <c r="J119" s="4">
        <v>26.2</v>
      </c>
      <c r="K119" s="3">
        <v>3.3415021401924205</v>
      </c>
      <c r="N119" s="71">
        <v>3</v>
      </c>
      <c r="O119" s="1">
        <v>2</v>
      </c>
      <c r="P119" s="71" t="s">
        <v>69</v>
      </c>
      <c r="Q119" s="71" t="s">
        <v>57</v>
      </c>
      <c r="R119" s="75">
        <v>21.4</v>
      </c>
      <c r="S119" s="76">
        <v>0.45</v>
      </c>
      <c r="T119" s="76">
        <v>3.8884892086330938</v>
      </c>
      <c r="U119" s="39">
        <f t="shared" si="12"/>
        <v>5.4438848920863314E-2</v>
      </c>
      <c r="V119" s="23">
        <v>2.0723623642054867</v>
      </c>
      <c r="W119" s="39">
        <f t="shared" si="12"/>
        <v>2.9013073098876813E-2</v>
      </c>
      <c r="X119" s="23">
        <v>5.96085157283858</v>
      </c>
      <c r="Z119" s="23">
        <v>33.755933297137787</v>
      </c>
      <c r="AA119" s="77">
        <v>15.100927151898739</v>
      </c>
      <c r="AB119" s="77">
        <v>2.9875281501845965</v>
      </c>
      <c r="AC119" s="79">
        <v>18.088455302083336</v>
      </c>
      <c r="AE119" s="78">
        <v>0.83483785097777208</v>
      </c>
      <c r="AF119" s="3">
        <v>122.43812911311632</v>
      </c>
      <c r="AG119" s="3">
        <v>17.26768920424405</v>
      </c>
      <c r="AH119" s="3">
        <v>51.023622501381837</v>
      </c>
      <c r="AI119" s="39">
        <f t="shared" si="13"/>
        <v>0.71433071501934575</v>
      </c>
      <c r="AM119" s="3">
        <v>7.090591431482534</v>
      </c>
      <c r="AO119" s="3">
        <v>62.945325647058993</v>
      </c>
      <c r="AP119" s="39">
        <f t="shared" si="14"/>
        <v>0.88123455905882597</v>
      </c>
      <c r="AQ119" s="23">
        <v>39.716784869976365</v>
      </c>
    </row>
    <row r="120" spans="1:48">
      <c r="A120" s="1">
        <v>3</v>
      </c>
      <c r="B120" s="1" t="s">
        <v>43</v>
      </c>
      <c r="C120" s="45" t="s">
        <v>0</v>
      </c>
      <c r="D120" s="18">
        <v>41115</v>
      </c>
      <c r="E120" s="80">
        <v>0.3576388888888889</v>
      </c>
      <c r="F120" s="3">
        <v>2.9</v>
      </c>
      <c r="G120" s="3">
        <v>1.5</v>
      </c>
      <c r="H120" s="23"/>
      <c r="I120" s="1">
        <v>0.5</v>
      </c>
      <c r="J120" s="4">
        <v>24.4</v>
      </c>
      <c r="K120" s="3">
        <v>3.7634448033719914</v>
      </c>
      <c r="N120" s="71">
        <v>1</v>
      </c>
      <c r="O120" s="1">
        <v>4</v>
      </c>
      <c r="P120" s="71" t="s">
        <v>50</v>
      </c>
      <c r="Q120" s="71" t="s">
        <v>75</v>
      </c>
      <c r="R120" s="75">
        <v>31.3</v>
      </c>
      <c r="S120" s="76">
        <v>0.52316925288001626</v>
      </c>
      <c r="T120" s="76">
        <v>1.9645438483777706</v>
      </c>
      <c r="U120" s="39">
        <f t="shared" si="12"/>
        <v>2.750361387728879E-2</v>
      </c>
      <c r="V120" s="23">
        <v>0.85343399005707965</v>
      </c>
      <c r="W120" s="39">
        <f t="shared" si="12"/>
        <v>1.1948075860799115E-2</v>
      </c>
      <c r="X120" s="23">
        <v>2.8179778384348504</v>
      </c>
      <c r="Z120" s="23">
        <v>78.793942853719287</v>
      </c>
      <c r="AA120" s="77">
        <v>8.9428626582278454</v>
      </c>
      <c r="AB120" s="77">
        <v>5.2105013938554876</v>
      </c>
      <c r="AC120" s="79">
        <v>14.153364052083333</v>
      </c>
      <c r="AE120" s="78">
        <v>0.63185420973549267</v>
      </c>
      <c r="AF120" s="3">
        <v>108.05696216501757</v>
      </c>
      <c r="AG120" s="3">
        <v>17.818253207857634</v>
      </c>
      <c r="AH120" s="3">
        <v>96.612196061576924</v>
      </c>
      <c r="AI120" s="39">
        <f t="shared" si="13"/>
        <v>1.352570744862077</v>
      </c>
      <c r="AM120" s="3">
        <v>6.0643970486043912</v>
      </c>
      <c r="AO120" s="3">
        <v>102.24815173844664</v>
      </c>
      <c r="AP120" s="39">
        <f t="shared" si="14"/>
        <v>1.4314741243382529</v>
      </c>
      <c r="AQ120" s="23">
        <v>81.611920692154143</v>
      </c>
    </row>
    <row r="121" spans="1:48">
      <c r="A121" s="1">
        <v>3</v>
      </c>
      <c r="B121" s="1" t="s">
        <v>44</v>
      </c>
      <c r="C121" s="45" t="s">
        <v>0</v>
      </c>
      <c r="D121" s="18">
        <v>41115</v>
      </c>
      <c r="E121" s="80">
        <v>0.3576388888888889</v>
      </c>
      <c r="F121" s="3">
        <v>2.9</v>
      </c>
      <c r="G121" s="3">
        <v>1.5</v>
      </c>
      <c r="H121" s="23"/>
      <c r="I121" s="1">
        <v>1.9</v>
      </c>
      <c r="J121" s="4">
        <v>25</v>
      </c>
      <c r="K121" s="3">
        <v>4.3546785455129156</v>
      </c>
      <c r="N121" s="71">
        <v>1</v>
      </c>
      <c r="O121" s="1">
        <v>4</v>
      </c>
      <c r="P121" s="71" t="s">
        <v>50</v>
      </c>
      <c r="Q121" s="71" t="s">
        <v>75</v>
      </c>
      <c r="R121" s="75">
        <v>31.2</v>
      </c>
      <c r="S121" s="76">
        <v>0.52316925288001626</v>
      </c>
      <c r="T121" s="76">
        <v>1.918647606810151</v>
      </c>
      <c r="U121" s="39">
        <f t="shared" ref="U121:U140" si="15">T121*0.014</f>
        <v>2.6861066495342114E-2</v>
      </c>
      <c r="V121" s="23">
        <v>0.26757890531362366</v>
      </c>
      <c r="W121" s="39">
        <f t="shared" ref="W121:W140" si="16">V121*0.014</f>
        <v>3.7461046743907313E-3</v>
      </c>
      <c r="X121" s="23">
        <v>1.9436476068101509</v>
      </c>
      <c r="Z121" s="23">
        <v>20.105964010886574</v>
      </c>
      <c r="AA121" s="77">
        <v>9.8047136708860751</v>
      </c>
      <c r="AB121" s="77">
        <v>7.2587876311972561</v>
      </c>
      <c r="AC121" s="79">
        <v>17.063501302083331</v>
      </c>
      <c r="AE121" s="78">
        <v>0.57460151333003329</v>
      </c>
      <c r="AF121" s="3">
        <v>98.895494181730157</v>
      </c>
      <c r="AG121" s="3">
        <v>16.908496098252474</v>
      </c>
      <c r="AH121" s="3">
        <v>37.014460109139051</v>
      </c>
      <c r="AI121" s="39">
        <f t="shared" si="13"/>
        <v>0.5182024415279467</v>
      </c>
      <c r="AM121" s="3">
        <v>5.8488640034610295</v>
      </c>
      <c r="AO121" s="3">
        <v>40.901755322759342</v>
      </c>
      <c r="AP121" s="39">
        <f t="shared" si="14"/>
        <v>0.5726245745186308</v>
      </c>
      <c r="AQ121" s="23">
        <v>22.049611617696723</v>
      </c>
    </row>
    <row r="122" spans="1:48">
      <c r="A122" s="1">
        <v>9</v>
      </c>
      <c r="B122" s="1" t="s">
        <v>65</v>
      </c>
      <c r="C122" s="45" t="s">
        <v>0</v>
      </c>
      <c r="D122" s="18">
        <v>41115</v>
      </c>
      <c r="E122" s="80">
        <v>0.375</v>
      </c>
      <c r="F122" s="3">
        <v>2.5</v>
      </c>
      <c r="G122" s="3">
        <v>1</v>
      </c>
      <c r="H122" s="23"/>
      <c r="I122" s="1">
        <v>1.25</v>
      </c>
      <c r="J122" s="4">
        <v>22.3</v>
      </c>
      <c r="K122" s="3">
        <v>3.7542312938080613</v>
      </c>
      <c r="N122" s="71">
        <v>1</v>
      </c>
      <c r="O122" s="1">
        <v>2</v>
      </c>
      <c r="P122" s="71" t="s">
        <v>52</v>
      </c>
      <c r="Q122" s="71" t="s">
        <v>49</v>
      </c>
      <c r="R122" s="75">
        <v>22.2</v>
      </c>
      <c r="S122" s="76">
        <v>0.35</v>
      </c>
      <c r="T122" s="76">
        <v>2.6988837134596846</v>
      </c>
      <c r="U122" s="39">
        <f t="shared" si="15"/>
        <v>3.7784371988435587E-2</v>
      </c>
      <c r="V122" s="23">
        <v>0.27527158902596205</v>
      </c>
      <c r="W122" s="39">
        <f t="shared" si="16"/>
        <v>3.8538022463634686E-3</v>
      </c>
      <c r="X122" s="23">
        <v>2.9741553024856469</v>
      </c>
      <c r="Z122" s="23">
        <v>27.909042941350897</v>
      </c>
      <c r="AA122" s="77">
        <v>15.457714936708866</v>
      </c>
      <c r="AB122" s="77">
        <v>3.1908045153744657</v>
      </c>
      <c r="AC122" s="79">
        <v>18.648519452083331</v>
      </c>
      <c r="AE122" s="78">
        <v>0.8288977029209682</v>
      </c>
      <c r="AF122" s="3">
        <v>153.21042783845959</v>
      </c>
      <c r="AG122" s="3">
        <v>21.308110288045597</v>
      </c>
      <c r="AH122" s="3">
        <v>49.217153229396494</v>
      </c>
      <c r="AI122" s="39">
        <f t="shared" si="13"/>
        <v>0.68904014521155088</v>
      </c>
      <c r="AM122" s="3">
        <v>7.1902400432202862</v>
      </c>
      <c r="AO122" s="3">
        <v>55.165463834367785</v>
      </c>
      <c r="AP122" s="39">
        <f t="shared" si="14"/>
        <v>0.77231649368114896</v>
      </c>
      <c r="AQ122" s="23">
        <v>30.883198243836542</v>
      </c>
    </row>
    <row r="123" spans="1:48">
      <c r="A123" s="1">
        <v>3</v>
      </c>
      <c r="B123" s="1" t="s">
        <v>43</v>
      </c>
      <c r="C123" s="45" t="s">
        <v>0</v>
      </c>
      <c r="D123" s="18">
        <v>41129</v>
      </c>
      <c r="E123" s="80">
        <v>0.34861111111111115</v>
      </c>
      <c r="F123" s="3">
        <v>3.65</v>
      </c>
      <c r="G123" s="3">
        <v>1.7</v>
      </c>
      <c r="H123" s="23"/>
      <c r="I123" s="1">
        <v>0.5</v>
      </c>
      <c r="J123" s="4">
        <v>26</v>
      </c>
      <c r="K123" s="3">
        <v>6.4049718288005755</v>
      </c>
      <c r="N123" s="71">
        <v>2</v>
      </c>
      <c r="O123" s="1">
        <v>2</v>
      </c>
      <c r="P123" s="71" t="s">
        <v>53</v>
      </c>
      <c r="Q123" s="71" t="s">
        <v>75</v>
      </c>
      <c r="R123" s="75">
        <v>30.3</v>
      </c>
      <c r="S123" s="29">
        <v>1.0007513022572458</v>
      </c>
      <c r="T123" s="76">
        <v>4.643532067898656</v>
      </c>
      <c r="U123" s="39">
        <f t="shared" si="15"/>
        <v>6.5009448950581181E-2</v>
      </c>
      <c r="V123" s="23">
        <v>0.32268458847357756</v>
      </c>
      <c r="W123" s="39">
        <f t="shared" si="16"/>
        <v>4.517584238630086E-3</v>
      </c>
      <c r="X123" s="23">
        <v>4.9662166563722332</v>
      </c>
      <c r="Z123" s="23">
        <v>40.378417753627765</v>
      </c>
      <c r="AA123" s="77">
        <v>17.074843987341776</v>
      </c>
      <c r="AB123" s="77">
        <v>2.0824919147415599</v>
      </c>
      <c r="AC123" s="79">
        <v>19.157335902083336</v>
      </c>
      <c r="AE123" s="78">
        <v>0.89129532804636513</v>
      </c>
      <c r="AF123" s="3">
        <v>169.08753241345289</v>
      </c>
      <c r="AG123" s="3">
        <v>28.406696032169762</v>
      </c>
      <c r="AH123" s="3">
        <v>68.785113785797535</v>
      </c>
      <c r="AI123" s="39">
        <f t="shared" si="13"/>
        <v>0.96299159300116555</v>
      </c>
      <c r="AM123" s="3">
        <v>5.9523829248556801</v>
      </c>
      <c r="AO123" s="3">
        <v>78.717547098541985</v>
      </c>
      <c r="AP123" s="39">
        <f t="shared" si="14"/>
        <v>1.1020456593795878</v>
      </c>
      <c r="AQ123" s="23">
        <v>45.344634409999998</v>
      </c>
    </row>
    <row r="124" spans="1:48">
      <c r="A124" s="1">
        <v>3</v>
      </c>
      <c r="B124" s="1" t="s">
        <v>44</v>
      </c>
      <c r="C124" s="45" t="s">
        <v>0</v>
      </c>
      <c r="D124" s="18">
        <v>41129</v>
      </c>
      <c r="E124" s="80">
        <v>0.34861111111111115</v>
      </c>
      <c r="F124" s="3">
        <v>3.65</v>
      </c>
      <c r="G124" s="3">
        <v>1.7</v>
      </c>
      <c r="H124" s="23"/>
      <c r="I124" s="1">
        <v>2.65</v>
      </c>
      <c r="J124" s="4">
        <v>26.4</v>
      </c>
      <c r="K124" s="3">
        <v>4.7084446438897745</v>
      </c>
      <c r="N124" s="71">
        <v>2</v>
      </c>
      <c r="O124" s="1">
        <v>2</v>
      </c>
      <c r="P124" s="71" t="s">
        <v>53</v>
      </c>
      <c r="Q124" s="71" t="s">
        <v>75</v>
      </c>
      <c r="R124" s="75">
        <v>30.8</v>
      </c>
      <c r="S124" s="29">
        <v>1.1843528783224255</v>
      </c>
      <c r="T124" s="76">
        <v>2.1718371101262646</v>
      </c>
      <c r="U124" s="39">
        <f t="shared" si="15"/>
        <v>3.0405719541767705E-2</v>
      </c>
      <c r="V124" s="23">
        <v>0.31117657889891365</v>
      </c>
      <c r="W124" s="39">
        <f t="shared" si="16"/>
        <v>4.3564721045847915E-3</v>
      </c>
      <c r="X124" s="23">
        <v>2.4830136890251784</v>
      </c>
      <c r="Z124" s="23">
        <v>31.534683035054535</v>
      </c>
      <c r="AA124" s="77">
        <v>7.8400640506329111</v>
      </c>
      <c r="AB124" s="77">
        <v>7.4114650014504191</v>
      </c>
      <c r="AC124" s="79">
        <v>15.251529052083331</v>
      </c>
      <c r="AE124" s="78">
        <v>0.51405101900664663</v>
      </c>
      <c r="AF124" s="3">
        <v>118.31509482020607</v>
      </c>
      <c r="AG124" s="3">
        <v>17.820608561883784</v>
      </c>
      <c r="AH124" s="3">
        <v>49.355291596938315</v>
      </c>
      <c r="AI124" s="39">
        <f t="shared" si="13"/>
        <v>0.69097408235713642</v>
      </c>
      <c r="AM124" s="3">
        <v>6.6392286441478969</v>
      </c>
      <c r="AO124" s="3">
        <v>54.321318974988671</v>
      </c>
      <c r="AP124" s="39">
        <f t="shared" si="14"/>
        <v>0.76049846564984136</v>
      </c>
      <c r="AQ124" s="23">
        <v>34.017696724079713</v>
      </c>
    </row>
    <row r="125" spans="1:48">
      <c r="A125" s="1">
        <v>3</v>
      </c>
      <c r="B125" s="1" t="s">
        <v>43</v>
      </c>
      <c r="C125" s="45" t="s">
        <v>0</v>
      </c>
      <c r="D125" s="18">
        <v>41143</v>
      </c>
      <c r="E125" s="74">
        <v>0.35069444444444442</v>
      </c>
      <c r="F125" s="3">
        <v>2.4</v>
      </c>
      <c r="G125" s="3">
        <v>0.9</v>
      </c>
      <c r="H125" s="23"/>
      <c r="I125" s="1">
        <v>0.5</v>
      </c>
      <c r="J125" s="4">
        <v>23.1</v>
      </c>
      <c r="K125" s="3">
        <v>7.493987987888981</v>
      </c>
      <c r="N125" s="71">
        <v>1</v>
      </c>
      <c r="O125" s="1">
        <v>1</v>
      </c>
      <c r="P125" s="71" t="s">
        <v>52</v>
      </c>
      <c r="Q125" s="71" t="s">
        <v>49</v>
      </c>
      <c r="R125" s="75">
        <v>30.8</v>
      </c>
      <c r="S125" s="29">
        <v>1.034602914425103</v>
      </c>
      <c r="T125" s="76">
        <v>1.8901235419973776</v>
      </c>
      <c r="U125" s="39">
        <f t="shared" si="15"/>
        <v>2.6461729587963289E-2</v>
      </c>
      <c r="V125" s="23">
        <v>0.82213220401399367</v>
      </c>
      <c r="W125" s="39">
        <f t="shared" si="16"/>
        <v>1.1509850856195911E-2</v>
      </c>
      <c r="X125" s="23">
        <v>2.7122557460113712</v>
      </c>
      <c r="Z125" s="23">
        <v>21.332036722749184</v>
      </c>
      <c r="AA125" s="77">
        <v>20.035719240506332</v>
      </c>
      <c r="AB125" s="77">
        <v>2.0390750115769998</v>
      </c>
      <c r="AC125" s="79">
        <v>22.074794252083333</v>
      </c>
      <c r="AE125" s="78">
        <v>0.90762881011293861</v>
      </c>
      <c r="AF125" s="23">
        <v>878.73528710412336</v>
      </c>
      <c r="AG125" s="23">
        <v>74.486143787479875</v>
      </c>
      <c r="AH125" s="3">
        <v>95.818180510229055</v>
      </c>
      <c r="AI125" s="39">
        <f t="shared" si="13"/>
        <v>1.3414545271432068</v>
      </c>
      <c r="AM125" s="23">
        <v>11.797298697745539</v>
      </c>
      <c r="AO125" s="3">
        <v>101.2426920022518</v>
      </c>
      <c r="AP125" s="39">
        <f t="shared" si="14"/>
        <v>1.4173976880315253</v>
      </c>
      <c r="AQ125" s="23">
        <v>24.044292468760556</v>
      </c>
    </row>
    <row r="126" spans="1:48">
      <c r="A126" s="1">
        <v>3</v>
      </c>
      <c r="B126" s="1" t="s">
        <v>44</v>
      </c>
      <c r="C126" s="45" t="s">
        <v>0</v>
      </c>
      <c r="D126" s="18">
        <v>41143</v>
      </c>
      <c r="E126" s="74">
        <v>0.35069444444444442</v>
      </c>
      <c r="F126" s="3">
        <v>2.4</v>
      </c>
      <c r="G126" s="3">
        <v>0.9</v>
      </c>
      <c r="H126" s="23"/>
      <c r="I126" s="1">
        <v>1.4</v>
      </c>
      <c r="J126" s="4">
        <v>23</v>
      </c>
      <c r="K126" s="3">
        <v>3.9348792410249156</v>
      </c>
      <c r="N126" s="71">
        <v>1</v>
      </c>
      <c r="O126" s="1">
        <v>1</v>
      </c>
      <c r="P126" s="71" t="s">
        <v>52</v>
      </c>
      <c r="Q126" s="71" t="s">
        <v>49</v>
      </c>
      <c r="R126" s="75">
        <v>30.8</v>
      </c>
      <c r="S126" s="29">
        <v>1.0869329870503837</v>
      </c>
      <c r="T126" s="76">
        <v>1.975222582648906</v>
      </c>
      <c r="U126" s="39">
        <f t="shared" si="15"/>
        <v>2.7653116157084684E-2</v>
      </c>
      <c r="V126" s="23">
        <v>0.26378345984818219</v>
      </c>
      <c r="W126" s="39">
        <f t="shared" si="16"/>
        <v>3.6929684378745509E-3</v>
      </c>
      <c r="X126" s="23">
        <v>2.000222582648906</v>
      </c>
      <c r="Z126" s="23">
        <v>23.611319127351095</v>
      </c>
      <c r="AA126" s="77">
        <v>31.202713544303791</v>
      </c>
      <c r="AB126" s="77">
        <v>6.9272530077795507</v>
      </c>
      <c r="AC126" s="79">
        <v>38.129966552083339</v>
      </c>
      <c r="AE126" s="78">
        <v>0.81832522726403867</v>
      </c>
      <c r="AF126" s="23">
        <v>352.56928686474083</v>
      </c>
      <c r="AG126" s="23">
        <v>34.252688554662726</v>
      </c>
      <c r="AH126" s="3">
        <v>57.86400768201382</v>
      </c>
      <c r="AI126" s="39">
        <f t="shared" si="13"/>
        <v>0.8100961075481935</v>
      </c>
      <c r="AM126" s="23">
        <v>10.29318578312728</v>
      </c>
      <c r="AO126" s="3">
        <v>61.864452847311632</v>
      </c>
      <c r="AP126" s="39">
        <f t="shared" si="14"/>
        <v>0.86610233986236285</v>
      </c>
      <c r="AQ126" s="23">
        <v>25.611541710000001</v>
      </c>
      <c r="AR126" s="84" t="s">
        <v>76</v>
      </c>
    </row>
    <row r="127" spans="1:48" ht="15">
      <c r="A127" s="1">
        <v>3</v>
      </c>
      <c r="B127" s="1" t="s">
        <v>43</v>
      </c>
      <c r="C127" s="45" t="s">
        <v>0</v>
      </c>
      <c r="D127" s="18">
        <v>41466</v>
      </c>
      <c r="E127" s="72">
        <v>0.36458333333333331</v>
      </c>
      <c r="F127" s="1">
        <v>2.5</v>
      </c>
      <c r="G127" s="4">
        <v>1</v>
      </c>
      <c r="H127" s="81"/>
      <c r="I127" s="4">
        <v>0.5</v>
      </c>
      <c r="J127" s="4">
        <v>25.8</v>
      </c>
      <c r="K127" s="1">
        <v>7.1</v>
      </c>
      <c r="L127" s="1"/>
      <c r="M127" s="82"/>
      <c r="N127" s="1">
        <v>3</v>
      </c>
      <c r="O127" s="1">
        <v>1</v>
      </c>
      <c r="P127" s="1" t="s">
        <v>53</v>
      </c>
      <c r="Q127" s="1" t="s">
        <v>67</v>
      </c>
      <c r="R127" s="75">
        <v>30</v>
      </c>
      <c r="S127" s="4" t="s">
        <v>77</v>
      </c>
      <c r="T127" s="4">
        <v>0.9666351850261854</v>
      </c>
      <c r="U127" s="39">
        <f t="shared" si="15"/>
        <v>1.3532892590366595E-2</v>
      </c>
      <c r="V127" s="108">
        <v>0.72160000000000002</v>
      </c>
      <c r="W127" s="39">
        <f t="shared" si="16"/>
        <v>1.0102400000000001E-2</v>
      </c>
      <c r="X127" s="108">
        <v>1.6882351850261854</v>
      </c>
      <c r="Y127" s="82"/>
      <c r="Z127" s="108">
        <v>62.386211467239463</v>
      </c>
      <c r="AA127" s="23">
        <v>9.7430379746835438</v>
      </c>
      <c r="AB127" s="23">
        <v>0.6389620253164574</v>
      </c>
      <c r="AC127" s="3">
        <v>10.382000000000001</v>
      </c>
      <c r="AD127" s="4"/>
      <c r="AE127" s="110">
        <v>0.93845482322130058</v>
      </c>
      <c r="AF127" s="3">
        <v>207.1875144897713</v>
      </c>
      <c r="AG127" s="3">
        <v>36.098347099197341</v>
      </c>
      <c r="AH127" s="3">
        <v>98.484558566436803</v>
      </c>
      <c r="AI127" s="39">
        <f t="shared" si="13"/>
        <v>1.3787838199301152</v>
      </c>
      <c r="AJ127" s="85"/>
      <c r="AK127" s="3"/>
      <c r="AL127" s="3"/>
      <c r="AM127" s="3">
        <v>5.7395291236029529</v>
      </c>
      <c r="AN127" s="3"/>
      <c r="AO127" s="3">
        <v>100.17279375146299</v>
      </c>
      <c r="AP127" s="39">
        <f t="shared" si="14"/>
        <v>1.4024191125204819</v>
      </c>
      <c r="AQ127" s="3"/>
      <c r="AR127" s="107" t="s">
        <v>42</v>
      </c>
      <c r="AS127" s="1"/>
    </row>
    <row r="128" spans="1:48" s="49" customFormat="1" ht="15">
      <c r="A128" s="1">
        <v>3</v>
      </c>
      <c r="B128" s="1" t="s">
        <v>44</v>
      </c>
      <c r="C128" s="45" t="s">
        <v>0</v>
      </c>
      <c r="D128" s="18">
        <v>41466</v>
      </c>
      <c r="E128" s="72">
        <v>0.36458333333333331</v>
      </c>
      <c r="F128" s="1">
        <v>2.5</v>
      </c>
      <c r="G128" s="4">
        <v>1</v>
      </c>
      <c r="H128" s="38"/>
      <c r="I128" s="4" t="s">
        <v>47</v>
      </c>
      <c r="J128" s="4">
        <v>25.7</v>
      </c>
      <c r="K128" s="1">
        <v>3.9</v>
      </c>
      <c r="M128" s="40"/>
      <c r="N128" s="1">
        <v>3</v>
      </c>
      <c r="O128" s="1">
        <v>1</v>
      </c>
      <c r="P128" s="1" t="s">
        <v>53</v>
      </c>
      <c r="Q128" s="1" t="s">
        <v>67</v>
      </c>
      <c r="R128" s="75">
        <v>30.1</v>
      </c>
      <c r="S128" s="4">
        <v>9.9999999999999936E-2</v>
      </c>
      <c r="T128" s="4">
        <v>0.54266334678457762</v>
      </c>
      <c r="U128" s="39">
        <f t="shared" si="15"/>
        <v>7.597286854984087E-3</v>
      </c>
      <c r="V128" s="108">
        <v>0.34157650695517772</v>
      </c>
      <c r="W128" s="39">
        <f t="shared" si="16"/>
        <v>4.7820710973724883E-3</v>
      </c>
      <c r="X128" s="108">
        <v>0.88423985373975533</v>
      </c>
      <c r="Y128" s="48"/>
      <c r="Z128" s="108">
        <v>22.672709213330336</v>
      </c>
      <c r="AA128" s="23">
        <v>7.34126582278481</v>
      </c>
      <c r="AB128" s="23">
        <v>3.1839341772151899</v>
      </c>
      <c r="AC128" s="3">
        <v>10.5252</v>
      </c>
      <c r="AD128" s="48"/>
      <c r="AE128" s="110">
        <v>0.69749418754843706</v>
      </c>
      <c r="AF128" s="3">
        <v>205.0314811346847</v>
      </c>
      <c r="AG128" s="3">
        <v>35.446605332567728</v>
      </c>
      <c r="AH128" s="3">
        <v>58.119314545898064</v>
      </c>
      <c r="AI128" s="39">
        <f t="shared" si="13"/>
        <v>0.81367040364257293</v>
      </c>
      <c r="AJ128" s="48"/>
      <c r="AK128" s="5"/>
      <c r="AL128" s="48"/>
      <c r="AM128" s="3">
        <v>5.7842346033148999</v>
      </c>
      <c r="AN128" s="22"/>
      <c r="AO128" s="3">
        <v>59.003554399637821</v>
      </c>
      <c r="AP128" s="39">
        <f t="shared" si="14"/>
        <v>0.82604976159492949</v>
      </c>
      <c r="AQ128" s="19"/>
      <c r="AR128" s="109">
        <v>64.07444665226565</v>
      </c>
    </row>
    <row r="129" spans="1:48" s="38" customFormat="1" ht="15">
      <c r="A129" s="1">
        <v>3</v>
      </c>
      <c r="B129" s="1" t="s">
        <v>43</v>
      </c>
      <c r="C129" s="45" t="s">
        <v>0</v>
      </c>
      <c r="D129" s="18">
        <v>41480</v>
      </c>
      <c r="E129" s="72">
        <v>0.36458333333333331</v>
      </c>
      <c r="F129" s="1">
        <v>4</v>
      </c>
      <c r="G129" s="4">
        <v>0.82499999999999996</v>
      </c>
      <c r="H129" s="16"/>
      <c r="I129" s="4" t="s">
        <v>47</v>
      </c>
      <c r="J129" s="4">
        <v>25</v>
      </c>
      <c r="K129" s="1">
        <v>3.6</v>
      </c>
      <c r="M129" s="17"/>
      <c r="N129" s="1">
        <v>3</v>
      </c>
      <c r="O129" s="1">
        <v>3</v>
      </c>
      <c r="P129" s="1" t="s">
        <v>50</v>
      </c>
      <c r="Q129" s="1" t="s">
        <v>78</v>
      </c>
      <c r="R129" s="4">
        <v>30.1</v>
      </c>
      <c r="S129" s="4">
        <v>0.47499999999999998</v>
      </c>
      <c r="T129" s="4">
        <v>0.49673306772908221</v>
      </c>
      <c r="U129" s="39">
        <f t="shared" si="15"/>
        <v>6.9542629482071509E-3</v>
      </c>
      <c r="V129" s="108">
        <v>0.4540185471406491</v>
      </c>
      <c r="W129" s="39">
        <f t="shared" si="16"/>
        <v>6.3562596599690876E-3</v>
      </c>
      <c r="X129" s="108">
        <v>0.95075161486973125</v>
      </c>
      <c r="Y129" s="16"/>
      <c r="Z129" s="108">
        <v>34.151205016496888</v>
      </c>
      <c r="AA129" s="111">
        <v>12.801898734177215</v>
      </c>
      <c r="AB129" s="111">
        <v>0.71260126582278716</v>
      </c>
      <c r="AC129" s="3">
        <v>13.514500000000002</v>
      </c>
      <c r="AD129" s="16"/>
      <c r="AE129" s="112">
        <v>0.94727135552016084</v>
      </c>
      <c r="AF129" s="3">
        <v>161.37961740923566</v>
      </c>
      <c r="AG129" s="3">
        <v>26.159285158095837</v>
      </c>
      <c r="AH129" s="3">
        <v>60.310490174592729</v>
      </c>
      <c r="AI129" s="39">
        <f t="shared" si="13"/>
        <v>0.84434686244429824</v>
      </c>
      <c r="AJ129" s="16"/>
      <c r="AK129" s="5"/>
      <c r="AL129" s="16"/>
      <c r="AM129" s="3">
        <v>6.1691141953583362</v>
      </c>
      <c r="AO129" s="3">
        <v>61.26124178946246</v>
      </c>
      <c r="AP129" s="39">
        <f t="shared" si="14"/>
        <v>0.85765738505247446</v>
      </c>
      <c r="AR129" s="109">
        <v>23.556949067070093</v>
      </c>
    </row>
    <row r="130" spans="1:48" s="38" customFormat="1" ht="15">
      <c r="A130" s="1">
        <v>3</v>
      </c>
      <c r="B130" s="1" t="s">
        <v>44</v>
      </c>
      <c r="C130" s="45" t="s">
        <v>0</v>
      </c>
      <c r="D130" s="18">
        <v>41480</v>
      </c>
      <c r="E130" s="72">
        <v>0.36458333333333331</v>
      </c>
      <c r="F130" s="1">
        <v>4</v>
      </c>
      <c r="G130" s="4">
        <v>0.82499999999999996</v>
      </c>
      <c r="H130" s="16"/>
      <c r="I130" s="4">
        <v>3</v>
      </c>
      <c r="J130" s="4" t="s">
        <v>47</v>
      </c>
      <c r="K130" s="1" t="s">
        <v>47</v>
      </c>
      <c r="M130" s="17"/>
      <c r="N130" s="1">
        <v>3</v>
      </c>
      <c r="O130" s="1">
        <v>3</v>
      </c>
      <c r="P130" s="1" t="s">
        <v>50</v>
      </c>
      <c r="Q130" s="1" t="s">
        <v>78</v>
      </c>
      <c r="R130" s="4">
        <v>30.3</v>
      </c>
      <c r="S130" s="4">
        <v>0.56506883771267902</v>
      </c>
      <c r="T130" s="4">
        <v>0.66905710491367709</v>
      </c>
      <c r="U130" s="39">
        <f t="shared" si="15"/>
        <v>9.3667994687914799E-3</v>
      </c>
      <c r="V130" s="108">
        <v>0.47816846986089639</v>
      </c>
      <c r="W130" s="39">
        <f t="shared" si="16"/>
        <v>6.6943585780525495E-3</v>
      </c>
      <c r="X130" s="108">
        <v>1.1472255747745734</v>
      </c>
      <c r="Y130" s="16"/>
      <c r="Z130" s="108">
        <v>49.556092629965725</v>
      </c>
      <c r="AA130" s="113">
        <v>12.575316455696203</v>
      </c>
      <c r="AB130" s="113">
        <v>2.9976835443037952</v>
      </c>
      <c r="AC130" s="3">
        <v>15.572999999999999</v>
      </c>
      <c r="AD130" s="16"/>
      <c r="AE130" s="114">
        <v>0.80750763858577057</v>
      </c>
      <c r="AF130" s="3">
        <v>1363.8212923431856</v>
      </c>
      <c r="AG130" s="3">
        <v>165.57499581225159</v>
      </c>
      <c r="AH130" s="3">
        <v>215.1310884422173</v>
      </c>
      <c r="AI130" s="39">
        <f t="shared" si="13"/>
        <v>3.0118352381910425</v>
      </c>
      <c r="AJ130" s="16"/>
      <c r="AK130" s="5"/>
      <c r="AL130" s="16"/>
      <c r="AM130" s="3">
        <v>8.2368795218913764</v>
      </c>
      <c r="AO130" s="3">
        <v>216.27831401699189</v>
      </c>
      <c r="AP130" s="39">
        <f t="shared" si="14"/>
        <v>3.0278963962378866</v>
      </c>
      <c r="AR130" s="109">
        <v>35.101956631366619</v>
      </c>
    </row>
    <row r="131" spans="1:48" s="38" customFormat="1" ht="15">
      <c r="A131" s="1">
        <v>3</v>
      </c>
      <c r="B131" s="1" t="s">
        <v>43</v>
      </c>
      <c r="C131" s="45" t="s">
        <v>0</v>
      </c>
      <c r="D131" s="18">
        <v>41499</v>
      </c>
      <c r="E131" s="72">
        <v>0.37291666666666662</v>
      </c>
      <c r="F131" s="1">
        <v>3.95</v>
      </c>
      <c r="G131" s="4">
        <v>1.5</v>
      </c>
      <c r="H131" s="16"/>
      <c r="I131" s="4">
        <v>0.5</v>
      </c>
      <c r="J131" s="4">
        <v>24</v>
      </c>
      <c r="K131" s="1">
        <v>5.4</v>
      </c>
      <c r="M131" s="17"/>
      <c r="N131" s="1">
        <v>3</v>
      </c>
      <c r="O131" s="1">
        <v>0</v>
      </c>
      <c r="P131" s="1" t="s">
        <v>79</v>
      </c>
      <c r="Q131" s="1" t="s">
        <v>75</v>
      </c>
      <c r="R131" s="75">
        <v>30.3</v>
      </c>
      <c r="S131" s="4">
        <v>0.45</v>
      </c>
      <c r="T131" s="4">
        <v>0.47032842387474827</v>
      </c>
      <c r="U131" s="39">
        <f t="shared" si="15"/>
        <v>6.5845979342464755E-3</v>
      </c>
      <c r="V131" s="108">
        <v>0.33288253477588864</v>
      </c>
      <c r="W131" s="39">
        <f t="shared" si="16"/>
        <v>4.6603554868624407E-3</v>
      </c>
      <c r="X131" s="108">
        <v>0.80321095865063685</v>
      </c>
      <c r="Y131" s="16"/>
      <c r="Z131" s="108">
        <v>22.1580497574361</v>
      </c>
      <c r="AA131" s="3">
        <v>8.2095291139240523</v>
      </c>
      <c r="AB131" s="3">
        <v>2.7936642819092832</v>
      </c>
      <c r="AC131" s="3">
        <v>11.003193395833335</v>
      </c>
      <c r="AD131" s="16"/>
      <c r="AE131" s="73">
        <v>0.74610422798101672</v>
      </c>
      <c r="AF131" s="3">
        <v>117.93953795860199</v>
      </c>
      <c r="AG131" s="3">
        <v>20.861167713535995</v>
      </c>
      <c r="AH131" s="3">
        <v>43.019217470972094</v>
      </c>
      <c r="AI131" s="39">
        <f t="shared" si="13"/>
        <v>0.6022690445936093</v>
      </c>
      <c r="AJ131" s="16"/>
      <c r="AK131" s="5"/>
      <c r="AL131" s="16"/>
      <c r="AM131" s="3">
        <v>5.6535444026019519</v>
      </c>
      <c r="AO131" s="3">
        <v>43.822428429622732</v>
      </c>
      <c r="AP131" s="39">
        <f t="shared" si="14"/>
        <v>0.61351399801471829</v>
      </c>
      <c r="AR131" s="109">
        <v>50.703318204740299</v>
      </c>
    </row>
    <row r="132" spans="1:48" s="49" customFormat="1" ht="15">
      <c r="A132" s="1">
        <v>3</v>
      </c>
      <c r="B132" s="1" t="s">
        <v>44</v>
      </c>
      <c r="C132" s="45" t="s">
        <v>0</v>
      </c>
      <c r="D132" s="18">
        <v>41499</v>
      </c>
      <c r="E132" s="72">
        <v>0.37291666666666662</v>
      </c>
      <c r="F132" s="1">
        <v>3.95</v>
      </c>
      <c r="G132" s="4">
        <v>1.5</v>
      </c>
      <c r="H132" s="16"/>
      <c r="I132" s="4">
        <v>2</v>
      </c>
      <c r="J132" s="4">
        <v>23.8</v>
      </c>
      <c r="K132" s="1">
        <v>0.18</v>
      </c>
      <c r="M132" s="16"/>
      <c r="N132" s="1">
        <v>3</v>
      </c>
      <c r="O132" s="1">
        <v>0</v>
      </c>
      <c r="P132" s="1" t="s">
        <v>79</v>
      </c>
      <c r="Q132" s="1" t="s">
        <v>75</v>
      </c>
      <c r="R132" s="75">
        <v>30.5</v>
      </c>
      <c r="S132" s="4">
        <v>0.72778006054456568</v>
      </c>
      <c r="T132" s="4">
        <v>2.9313936102565865</v>
      </c>
      <c r="U132" s="39">
        <f t="shared" si="15"/>
        <v>4.1039510543592214E-2</v>
      </c>
      <c r="V132" s="108">
        <v>0.41924265842349301</v>
      </c>
      <c r="W132" s="39">
        <f t="shared" si="16"/>
        <v>5.8693972179289025E-3</v>
      </c>
      <c r="X132" s="108">
        <v>3.3506362686800797</v>
      </c>
      <c r="Y132" s="16"/>
      <c r="Z132" s="108">
        <v>53.025904326377912</v>
      </c>
      <c r="AA132" s="3">
        <v>7.6417139240506309</v>
      </c>
      <c r="AB132" s="3">
        <v>1.807759471782703</v>
      </c>
      <c r="AC132" s="3">
        <v>9.4494733958333335</v>
      </c>
      <c r="AD132" s="16"/>
      <c r="AE132" s="73">
        <v>0.80869204070357836</v>
      </c>
      <c r="AF132" s="3">
        <v>109.89867926233698</v>
      </c>
      <c r="AG132" s="3">
        <v>18.797318785875575</v>
      </c>
      <c r="AH132" s="3">
        <v>71.823223112253487</v>
      </c>
      <c r="AI132" s="39">
        <f t="shared" si="13"/>
        <v>1.0055251235715488</v>
      </c>
      <c r="AJ132" s="16"/>
      <c r="AK132" s="5"/>
      <c r="AL132" s="16"/>
      <c r="AM132" s="3">
        <v>5.846508244830936</v>
      </c>
      <c r="AN132" s="22"/>
      <c r="AO132" s="3">
        <v>75.173859380933564</v>
      </c>
      <c r="AP132" s="39">
        <f t="shared" si="14"/>
        <v>1.05243403133307</v>
      </c>
      <c r="AQ132" s="22"/>
      <c r="AR132" s="109">
        <v>22.961260716086738</v>
      </c>
      <c r="AS132" s="37"/>
      <c r="AT132" s="52"/>
      <c r="AU132" s="52"/>
      <c r="AV132" s="52"/>
    </row>
    <row r="133" spans="1:48" s="49" customFormat="1" ht="15">
      <c r="A133" s="1">
        <v>3</v>
      </c>
      <c r="B133" s="1" t="s">
        <v>43</v>
      </c>
      <c r="C133" s="45" t="s">
        <v>0</v>
      </c>
      <c r="D133" s="18">
        <v>41836</v>
      </c>
      <c r="E133" s="72">
        <v>0.35833333333333334</v>
      </c>
      <c r="F133" s="4">
        <v>2.2000000000000002</v>
      </c>
      <c r="G133" s="4">
        <v>1</v>
      </c>
      <c r="H133" s="7"/>
      <c r="I133" s="28">
        <v>0.5</v>
      </c>
      <c r="J133" s="28">
        <v>24.2</v>
      </c>
      <c r="K133" s="23">
        <v>3.45</v>
      </c>
      <c r="M133" s="54"/>
      <c r="N133" s="1">
        <v>3</v>
      </c>
      <c r="O133" s="1">
        <v>2</v>
      </c>
      <c r="P133" s="1" t="s">
        <v>80</v>
      </c>
      <c r="Q133" s="1" t="s">
        <v>67</v>
      </c>
      <c r="R133" s="28">
        <v>30.3</v>
      </c>
      <c r="S133" s="28">
        <v>0.73602327135062928</v>
      </c>
      <c r="T133" s="28">
        <v>12.673295650144681</v>
      </c>
      <c r="U133" s="39">
        <f t="shared" si="15"/>
        <v>0.17742613910202554</v>
      </c>
      <c r="V133" s="123">
        <v>0.50474027256567244</v>
      </c>
      <c r="W133" s="39">
        <f t="shared" si="16"/>
        <v>7.0663638159194145E-3</v>
      </c>
      <c r="X133" s="123">
        <v>13.178035922710354</v>
      </c>
      <c r="Y133" s="53"/>
      <c r="Z133" s="123">
        <v>3.1666699596425865</v>
      </c>
      <c r="AA133" s="23">
        <v>6.0683265822784813</v>
      </c>
      <c r="AB133" s="23">
        <v>2.9932127927215189</v>
      </c>
      <c r="AC133" s="23">
        <v>9.0615393750000006</v>
      </c>
      <c r="AD133" s="53"/>
      <c r="AE133" s="110">
        <v>0.66967943647858186</v>
      </c>
      <c r="AF133" s="23">
        <v>124.45436236895451</v>
      </c>
      <c r="AG133" s="23">
        <v>20.60375501285332</v>
      </c>
      <c r="AH133" s="23">
        <v>23.770424972495906</v>
      </c>
      <c r="AI133" s="39">
        <f t="shared" si="13"/>
        <v>0.33278594961494268</v>
      </c>
      <c r="AJ133" s="53"/>
      <c r="AK133" s="5"/>
      <c r="AL133" s="53"/>
      <c r="AM133" s="23">
        <v>6.0403728490906472</v>
      </c>
      <c r="AN133" s="56"/>
      <c r="AO133" s="23">
        <v>36.94846089520626</v>
      </c>
      <c r="AP133" s="39">
        <f t="shared" si="14"/>
        <v>0.51727845253288762</v>
      </c>
      <c r="AQ133" s="56"/>
      <c r="AR133" s="109">
        <v>56.376540595057989</v>
      </c>
      <c r="AS133" s="57"/>
      <c r="AT133" s="52"/>
      <c r="AU133" s="52"/>
      <c r="AV133" s="52"/>
    </row>
    <row r="134" spans="1:48" s="49" customFormat="1" ht="15">
      <c r="A134" s="1">
        <v>3</v>
      </c>
      <c r="B134" s="1" t="s">
        <v>44</v>
      </c>
      <c r="C134" s="45" t="s">
        <v>0</v>
      </c>
      <c r="D134" s="18">
        <v>41836</v>
      </c>
      <c r="E134" s="72">
        <v>0.35833333333333334</v>
      </c>
      <c r="F134" s="4">
        <v>2.2000000000000002</v>
      </c>
      <c r="G134" s="4">
        <v>1</v>
      </c>
      <c r="H134" s="7"/>
      <c r="I134" s="28">
        <v>2.2000000000000002</v>
      </c>
      <c r="J134" s="28">
        <v>24.2</v>
      </c>
      <c r="K134" s="23">
        <v>3.25</v>
      </c>
      <c r="M134" s="59"/>
      <c r="N134" s="1">
        <v>3</v>
      </c>
      <c r="O134" s="1">
        <v>2</v>
      </c>
      <c r="P134" s="1" t="s">
        <v>80</v>
      </c>
      <c r="Q134" s="1" t="s">
        <v>67</v>
      </c>
      <c r="R134" s="28">
        <v>30.3</v>
      </c>
      <c r="S134" s="28">
        <v>0.73602327135062928</v>
      </c>
      <c r="T134" s="124">
        <v>12.700921908401272</v>
      </c>
      <c r="U134" s="39">
        <f t="shared" si="15"/>
        <v>0.17781290671761782</v>
      </c>
      <c r="V134" s="123">
        <v>1.0976693659885441</v>
      </c>
      <c r="W134" s="39">
        <f t="shared" si="16"/>
        <v>1.5367371123839619E-2</v>
      </c>
      <c r="X134" s="123">
        <v>13.798591274389816</v>
      </c>
      <c r="Y134" s="53"/>
      <c r="Z134" s="123">
        <v>53.143820863219283</v>
      </c>
      <c r="AA134" s="23">
        <v>6.2491392405063291</v>
      </c>
      <c r="AB134" s="23">
        <v>3.7020301344936728</v>
      </c>
      <c r="AC134" s="23">
        <v>9.9511693750000028</v>
      </c>
      <c r="AD134" s="53"/>
      <c r="AE134" s="110">
        <v>0.62798039155135243</v>
      </c>
      <c r="AF134" s="23">
        <v>122.04269809478417</v>
      </c>
      <c r="AG134" s="23">
        <v>20.716043930800339</v>
      </c>
      <c r="AH134" s="23">
        <v>73.859864794019614</v>
      </c>
      <c r="AI134" s="39">
        <f t="shared" si="13"/>
        <v>1.0340381071162745</v>
      </c>
      <c r="AJ134" s="53"/>
      <c r="AK134" s="5"/>
      <c r="AL134" s="53"/>
      <c r="AM134" s="23">
        <v>5.8912164167277474</v>
      </c>
      <c r="AN134" s="56"/>
      <c r="AO134" s="23">
        <v>87.658456068409436</v>
      </c>
      <c r="AP134" s="39">
        <f t="shared" si="14"/>
        <v>1.2272183849577321</v>
      </c>
      <c r="AQ134" s="56"/>
      <c r="AR134" s="60"/>
      <c r="AS134" s="82" t="s">
        <v>76</v>
      </c>
      <c r="AT134" s="52"/>
      <c r="AU134" s="52"/>
      <c r="AV134" s="52"/>
    </row>
    <row r="135" spans="1:48" s="49" customFormat="1" ht="15">
      <c r="A135" s="1">
        <v>3</v>
      </c>
      <c r="B135" s="1" t="s">
        <v>43</v>
      </c>
      <c r="C135" s="45" t="s">
        <v>0</v>
      </c>
      <c r="D135" s="18">
        <v>41851</v>
      </c>
      <c r="E135" s="72">
        <v>0.36805555555555558</v>
      </c>
      <c r="F135" s="4">
        <v>2.4</v>
      </c>
      <c r="G135" s="4">
        <v>0.9</v>
      </c>
      <c r="H135" s="38"/>
      <c r="I135" s="28">
        <v>0.5</v>
      </c>
      <c r="J135" s="28">
        <v>23.8</v>
      </c>
      <c r="K135" s="23">
        <v>5.45</v>
      </c>
      <c r="M135" s="38"/>
      <c r="N135" s="1">
        <v>1</v>
      </c>
      <c r="O135" s="1">
        <v>1</v>
      </c>
      <c r="P135" s="1" t="s">
        <v>43</v>
      </c>
      <c r="Q135" s="1" t="s">
        <v>67</v>
      </c>
      <c r="R135" s="28">
        <v>30.5</v>
      </c>
      <c r="S135" s="28" t="s">
        <v>77</v>
      </c>
      <c r="T135" s="28">
        <v>2.814552762136024</v>
      </c>
      <c r="U135" s="39">
        <f t="shared" si="15"/>
        <v>3.9403738669904334E-2</v>
      </c>
      <c r="V135" s="123">
        <v>5.5821647244716562E-2</v>
      </c>
      <c r="W135" s="39">
        <f t="shared" si="16"/>
        <v>7.8150306142603192E-4</v>
      </c>
      <c r="X135" s="123">
        <v>2.8703744093807404</v>
      </c>
      <c r="Y135" s="19"/>
      <c r="Z135" s="123">
        <v>40.209625590619261</v>
      </c>
      <c r="AA135" s="23">
        <v>12.631508860759494</v>
      </c>
      <c r="AB135" s="23">
        <v>4.0131865142405054</v>
      </c>
      <c r="AC135" s="23">
        <v>16.644695374999998</v>
      </c>
      <c r="AD135" s="19"/>
      <c r="AE135" s="110">
        <v>0.75889096052378169</v>
      </c>
      <c r="AF135" s="23">
        <v>186.11471081479428</v>
      </c>
      <c r="AG135" s="23">
        <v>24.700328957580091</v>
      </c>
      <c r="AH135" s="23">
        <v>64.909954548199352</v>
      </c>
      <c r="AI135" s="39">
        <f t="shared" si="13"/>
        <v>0.90873936367479091</v>
      </c>
      <c r="AJ135" s="19"/>
      <c r="AK135" s="5"/>
      <c r="AL135" s="19"/>
      <c r="AM135" s="23">
        <v>7.5349081841956194</v>
      </c>
      <c r="AN135" s="38"/>
      <c r="AO135" s="23">
        <v>67.780328957580082</v>
      </c>
      <c r="AP135" s="39">
        <f t="shared" si="14"/>
        <v>0.94892460540612111</v>
      </c>
      <c r="AQ135" s="38"/>
      <c r="AR135" s="38"/>
      <c r="AS135" s="119" t="s">
        <v>42</v>
      </c>
      <c r="AT135" s="52"/>
      <c r="AU135" s="52"/>
      <c r="AV135" s="52"/>
    </row>
    <row r="136" spans="1:48" s="49" customFormat="1" ht="15">
      <c r="A136" s="1">
        <v>3</v>
      </c>
      <c r="B136" s="1" t="s">
        <v>44</v>
      </c>
      <c r="C136" s="45" t="s">
        <v>0</v>
      </c>
      <c r="D136" s="18">
        <v>41851</v>
      </c>
      <c r="E136" s="72">
        <v>0.36805555555555558</v>
      </c>
      <c r="F136" s="4">
        <v>2.4</v>
      </c>
      <c r="G136" s="4">
        <v>0.9</v>
      </c>
      <c r="H136" s="38"/>
      <c r="I136" s="28">
        <v>2.4</v>
      </c>
      <c r="J136" s="28">
        <v>23.9</v>
      </c>
      <c r="K136" s="23">
        <v>5</v>
      </c>
      <c r="M136" s="38"/>
      <c r="N136" s="1">
        <v>1</v>
      </c>
      <c r="O136" s="1">
        <v>1</v>
      </c>
      <c r="P136" s="1" t="s">
        <v>43</v>
      </c>
      <c r="Q136" s="1" t="s">
        <v>67</v>
      </c>
      <c r="R136" s="28">
        <v>30.4</v>
      </c>
      <c r="S136" s="28" t="s">
        <v>77</v>
      </c>
      <c r="T136" s="28">
        <v>4.1494839965669552</v>
      </c>
      <c r="U136" s="39">
        <f t="shared" si="15"/>
        <v>5.8092775951937375E-2</v>
      </c>
      <c r="V136" s="123">
        <v>0.28333004147738489</v>
      </c>
      <c r="W136" s="39">
        <f t="shared" si="16"/>
        <v>3.9666205806833882E-3</v>
      </c>
      <c r="X136" s="123">
        <v>4.4328140380443397</v>
      </c>
      <c r="Y136" s="19"/>
      <c r="Z136" s="123">
        <v>43.058950667838005</v>
      </c>
      <c r="AA136" s="23">
        <v>10.861448101265822</v>
      </c>
      <c r="AB136" s="23">
        <v>4.1469143837025317</v>
      </c>
      <c r="AC136" s="23">
        <v>15.008362484968353</v>
      </c>
      <c r="AD136" s="19"/>
      <c r="AE136" s="110">
        <v>0.72369308191643966</v>
      </c>
      <c r="AF136" s="23">
        <v>215.01320874962411</v>
      </c>
      <c r="AG136" s="23">
        <v>34.471264018608473</v>
      </c>
      <c r="AH136" s="23">
        <v>77.53021468644647</v>
      </c>
      <c r="AI136" s="39">
        <f t="shared" si="13"/>
        <v>1.0854230056102505</v>
      </c>
      <c r="AJ136" s="19"/>
      <c r="AK136" s="5"/>
      <c r="AL136" s="19"/>
      <c r="AM136" s="23">
        <v>6.2374622709963425</v>
      </c>
      <c r="AN136" s="38"/>
      <c r="AO136" s="23">
        <v>81.963028724490812</v>
      </c>
      <c r="AP136" s="39">
        <f t="shared" si="14"/>
        <v>1.1474824021428713</v>
      </c>
      <c r="AQ136" s="38"/>
      <c r="AR136" s="38"/>
      <c r="AS136" s="123">
        <v>16.34470588235294</v>
      </c>
      <c r="AT136" s="52"/>
      <c r="AU136" s="52"/>
      <c r="AV136" s="52"/>
    </row>
    <row r="137" spans="1:48" s="49" customFormat="1" ht="15">
      <c r="A137" s="1">
        <v>3</v>
      </c>
      <c r="B137" s="1" t="s">
        <v>43</v>
      </c>
      <c r="C137" s="45" t="s">
        <v>0</v>
      </c>
      <c r="D137" s="18">
        <v>41865</v>
      </c>
      <c r="E137" s="72">
        <v>0.39027777777777778</v>
      </c>
      <c r="F137" s="4">
        <v>2</v>
      </c>
      <c r="G137" s="4">
        <v>1.5</v>
      </c>
      <c r="H137" s="38"/>
      <c r="I137" s="28">
        <v>0.5</v>
      </c>
      <c r="J137" s="28">
        <v>20.8</v>
      </c>
      <c r="K137" s="23">
        <v>4.83</v>
      </c>
      <c r="M137" s="38"/>
      <c r="N137" s="1">
        <v>1</v>
      </c>
      <c r="O137" s="1">
        <v>3</v>
      </c>
      <c r="P137" s="1" t="s">
        <v>54</v>
      </c>
      <c r="Q137" s="1" t="s">
        <v>75</v>
      </c>
      <c r="R137" s="28">
        <v>30.4</v>
      </c>
      <c r="S137" s="28">
        <v>0.9529596830239605</v>
      </c>
      <c r="T137" s="28">
        <v>4.3684712941497352</v>
      </c>
      <c r="U137" s="39">
        <f t="shared" si="15"/>
        <v>6.1158598118096291E-2</v>
      </c>
      <c r="V137" s="123">
        <v>0.92692079794588167</v>
      </c>
      <c r="W137" s="39">
        <f t="shared" si="16"/>
        <v>1.2976891171242344E-2</v>
      </c>
      <c r="X137" s="123">
        <v>5.295392092095617</v>
      </c>
      <c r="Y137" s="19"/>
      <c r="Z137" s="123">
        <v>17.78460790790438</v>
      </c>
      <c r="AA137" s="23">
        <v>6.9334177215189881</v>
      </c>
      <c r="AB137" s="23">
        <v>1.2826822784810128</v>
      </c>
      <c r="AC137" s="23">
        <v>8.2161000000000008</v>
      </c>
      <c r="AD137" s="19"/>
      <c r="AE137" s="126">
        <v>0.84388185654008441</v>
      </c>
      <c r="AF137" s="23">
        <v>99.853002621068399</v>
      </c>
      <c r="AG137" s="23">
        <v>15.715103465327218</v>
      </c>
      <c r="AH137" s="23">
        <v>33.499711373231598</v>
      </c>
      <c r="AI137" s="39">
        <f t="shared" si="13"/>
        <v>0.4689959592252424</v>
      </c>
      <c r="AJ137" s="19"/>
      <c r="AK137" s="5"/>
      <c r="AL137" s="19"/>
      <c r="AM137" s="23">
        <v>6.3539513335930344</v>
      </c>
      <c r="AN137" s="38"/>
      <c r="AO137" s="23">
        <v>38.795103465327216</v>
      </c>
      <c r="AP137" s="39">
        <f t="shared" si="14"/>
        <v>0.54313144851458106</v>
      </c>
      <c r="AQ137" s="38"/>
      <c r="AR137" s="38"/>
      <c r="AS137" s="125">
        <v>66.942412137609097</v>
      </c>
      <c r="AT137" s="52"/>
      <c r="AU137" s="52"/>
      <c r="AV137" s="52"/>
    </row>
    <row r="138" spans="1:48" s="49" customFormat="1" ht="15">
      <c r="A138" s="1">
        <v>3</v>
      </c>
      <c r="B138" s="1" t="s">
        <v>44</v>
      </c>
      <c r="C138" s="45" t="s">
        <v>0</v>
      </c>
      <c r="D138" s="18">
        <v>41865</v>
      </c>
      <c r="E138" s="72">
        <v>0.39027777777777778</v>
      </c>
      <c r="F138" s="4">
        <v>2</v>
      </c>
      <c r="G138" s="4">
        <v>1.5</v>
      </c>
      <c r="H138" s="38"/>
      <c r="I138" s="28">
        <v>2</v>
      </c>
      <c r="J138" s="28">
        <v>20.7</v>
      </c>
      <c r="K138" s="23">
        <v>4.4400000000000004</v>
      </c>
      <c r="M138" s="38"/>
      <c r="N138" s="1">
        <v>1</v>
      </c>
      <c r="O138" s="1">
        <v>3</v>
      </c>
      <c r="P138" s="1" t="s">
        <v>54</v>
      </c>
      <c r="Q138" s="1" t="s">
        <v>75</v>
      </c>
      <c r="R138" s="28">
        <v>30.2</v>
      </c>
      <c r="S138" s="28">
        <v>0.73933536537890343</v>
      </c>
      <c r="T138" s="28">
        <v>3.9919882721941904</v>
      </c>
      <c r="U138" s="39">
        <f t="shared" si="15"/>
        <v>5.588783581071867E-2</v>
      </c>
      <c r="V138" s="123">
        <v>0.58730001975113555</v>
      </c>
      <c r="W138" s="39">
        <f t="shared" si="16"/>
        <v>8.2222002765158977E-3</v>
      </c>
      <c r="X138" s="123">
        <v>4.5792882919453257</v>
      </c>
      <c r="Y138" s="19"/>
      <c r="Z138" s="123">
        <v>26.147770531584079</v>
      </c>
      <c r="AA138" s="23">
        <v>5.0301265822784824</v>
      </c>
      <c r="AB138" s="23">
        <v>1.020073417721518</v>
      </c>
      <c r="AC138" s="23">
        <v>6.0502000000000002</v>
      </c>
      <c r="AD138" s="19"/>
      <c r="AE138" s="126">
        <v>0.83139839712381114</v>
      </c>
      <c r="AF138" s="23">
        <v>151.93652651377738</v>
      </c>
      <c r="AG138" s="23">
        <v>21.719003199243698</v>
      </c>
      <c r="AH138" s="23">
        <v>47.866773730827774</v>
      </c>
      <c r="AI138" s="39">
        <f t="shared" si="13"/>
        <v>0.67013483223158887</v>
      </c>
      <c r="AJ138" s="19"/>
      <c r="AK138" s="5"/>
      <c r="AL138" s="19"/>
      <c r="AM138" s="23">
        <v>6.9955570759834931</v>
      </c>
      <c r="AN138" s="38"/>
      <c r="AO138" s="23">
        <v>52.446062022773106</v>
      </c>
      <c r="AP138" s="39">
        <f t="shared" si="14"/>
        <v>0.73424486831882352</v>
      </c>
      <c r="AQ138" s="38"/>
      <c r="AR138" s="38"/>
      <c r="AS138" s="123">
        <v>43.08</v>
      </c>
      <c r="AT138" s="52"/>
      <c r="AU138" s="52"/>
      <c r="AV138" s="52"/>
    </row>
    <row r="139" spans="1:48" ht="15">
      <c r="A139" s="1">
        <v>3</v>
      </c>
      <c r="B139" s="1" t="s">
        <v>43</v>
      </c>
      <c r="C139" s="45" t="s">
        <v>0</v>
      </c>
      <c r="D139" s="18">
        <v>41879</v>
      </c>
      <c r="E139" s="72">
        <v>0.3576388888888889</v>
      </c>
      <c r="F139" s="4">
        <v>2.2000000000000002</v>
      </c>
      <c r="G139" s="4">
        <v>0.8</v>
      </c>
      <c r="H139" s="1"/>
      <c r="I139" s="28">
        <v>0.5</v>
      </c>
      <c r="J139" s="28">
        <v>23</v>
      </c>
      <c r="K139" s="23">
        <v>4.99</v>
      </c>
      <c r="L139" s="86"/>
      <c r="M139" s="1"/>
      <c r="N139" s="1">
        <v>1</v>
      </c>
      <c r="O139" s="1">
        <v>1</v>
      </c>
      <c r="P139" s="1" t="s">
        <v>52</v>
      </c>
      <c r="Q139" s="1" t="s">
        <v>75</v>
      </c>
      <c r="R139" s="28">
        <v>30.7</v>
      </c>
      <c r="S139" s="28">
        <v>0.97885756676557845</v>
      </c>
      <c r="T139" s="28">
        <v>2.736127187308504</v>
      </c>
      <c r="U139" s="39">
        <f t="shared" si="15"/>
        <v>3.8305780622319055E-2</v>
      </c>
      <c r="V139" s="123">
        <v>0.4587695042464941</v>
      </c>
      <c r="W139" s="39">
        <f t="shared" si="16"/>
        <v>6.4227730594509178E-3</v>
      </c>
      <c r="X139" s="123">
        <v>3.1948966915549981</v>
      </c>
      <c r="Y139" s="4"/>
      <c r="Z139" s="123">
        <v>25.767456249621471</v>
      </c>
      <c r="AA139" s="23">
        <v>12.215956962025318</v>
      </c>
      <c r="AB139" s="23">
        <v>4.874806412974686</v>
      </c>
      <c r="AC139" s="23">
        <v>17.090763375000005</v>
      </c>
      <c r="AD139" s="28"/>
      <c r="AE139" s="110">
        <v>0.71476953334305438</v>
      </c>
      <c r="AF139" s="23">
        <v>202.82465858723634</v>
      </c>
      <c r="AG139" s="23">
        <v>36.609958569962615</v>
      </c>
      <c r="AH139" s="23">
        <v>62.377414819584089</v>
      </c>
      <c r="AI139" s="39">
        <f t="shared" si="13"/>
        <v>0.87328380747417722</v>
      </c>
      <c r="AJ139" s="3"/>
      <c r="AK139" s="3"/>
      <c r="AL139" s="3"/>
      <c r="AM139" s="23">
        <v>5.5401499075622542</v>
      </c>
      <c r="AN139" s="3"/>
      <c r="AO139" s="23">
        <v>65.572311511139077</v>
      </c>
      <c r="AP139" s="39">
        <f t="shared" si="14"/>
        <v>0.91801236115594709</v>
      </c>
      <c r="AQ139" s="90"/>
      <c r="AS139" s="123">
        <v>47.491764705882346</v>
      </c>
    </row>
    <row r="140" spans="1:48" ht="15">
      <c r="A140" s="1">
        <v>3</v>
      </c>
      <c r="B140" s="1" t="s">
        <v>44</v>
      </c>
      <c r="C140" s="45" t="s">
        <v>0</v>
      </c>
      <c r="D140" s="18">
        <v>41879</v>
      </c>
      <c r="E140" s="72">
        <v>0.3576388888888889</v>
      </c>
      <c r="F140" s="4">
        <v>2.2000000000000002</v>
      </c>
      <c r="G140" s="4">
        <v>0.8</v>
      </c>
      <c r="H140" s="90"/>
      <c r="I140" s="28">
        <v>2.2000000000000002</v>
      </c>
      <c r="J140" s="28">
        <v>23</v>
      </c>
      <c r="K140" s="23">
        <v>4.8499999999999996</v>
      </c>
      <c r="L140" s="93"/>
      <c r="M140" s="90"/>
      <c r="N140" s="1">
        <v>1</v>
      </c>
      <c r="O140" s="1">
        <v>1</v>
      </c>
      <c r="P140" s="1" t="s">
        <v>52</v>
      </c>
      <c r="Q140" s="1" t="s">
        <v>75</v>
      </c>
      <c r="R140" s="28">
        <v>30.6</v>
      </c>
      <c r="S140" s="124">
        <v>1.0853397870199433</v>
      </c>
      <c r="T140" s="28">
        <v>2.5694491727377948</v>
      </c>
      <c r="U140" s="39">
        <f t="shared" si="15"/>
        <v>3.5972288418329126E-2</v>
      </c>
      <c r="V140" s="123">
        <v>0.43156231483310287</v>
      </c>
      <c r="W140" s="39">
        <f t="shared" si="16"/>
        <v>6.0418724076634405E-3</v>
      </c>
      <c r="X140" s="123">
        <v>3.0010114875708975</v>
      </c>
      <c r="Y140" s="35"/>
      <c r="Z140" s="123">
        <v>18.343694394782041</v>
      </c>
      <c r="AA140" s="23">
        <v>9.0311164556962034</v>
      </c>
      <c r="AB140" s="23">
        <v>4.816882919303799</v>
      </c>
      <c r="AC140" s="23">
        <v>13.847999375000002</v>
      </c>
      <c r="AD140" s="83"/>
      <c r="AE140" s="110">
        <v>0.65216037429928042</v>
      </c>
      <c r="AF140" s="23">
        <v>158.42471170090943</v>
      </c>
      <c r="AG140" s="23">
        <v>28.58979804716013</v>
      </c>
      <c r="AH140" s="23">
        <v>46.933492441942171</v>
      </c>
      <c r="AI140" s="39">
        <f t="shared" si="13"/>
        <v>0.65706889418719039</v>
      </c>
      <c r="AJ140" s="95"/>
      <c r="AK140" s="2"/>
      <c r="AL140" s="2"/>
      <c r="AM140" s="23">
        <v>5.5413022309419917</v>
      </c>
      <c r="AN140" s="2"/>
      <c r="AO140" s="23">
        <v>49.93450392951307</v>
      </c>
      <c r="AP140" s="39">
        <f t="shared" si="14"/>
        <v>0.69908305501318302</v>
      </c>
      <c r="AQ140" s="2"/>
      <c r="AS140" s="123">
        <v>23.08</v>
      </c>
    </row>
    <row r="141" spans="1:48" s="49" customFormat="1" ht="15">
      <c r="A141" s="44"/>
      <c r="B141" s="44"/>
      <c r="C141" s="44"/>
      <c r="D141" s="44"/>
      <c r="E141" s="44"/>
      <c r="F141" s="44"/>
      <c r="G141" s="7"/>
      <c r="H141" s="44"/>
      <c r="I141" s="127"/>
      <c r="J141" s="7"/>
      <c r="K141" s="31">
        <f>SUM(K5:K140)</f>
        <v>651.15172384799632</v>
      </c>
      <c r="L141" s="59"/>
      <c r="M141" s="44"/>
      <c r="N141" s="44"/>
      <c r="O141" s="35"/>
      <c r="P141" s="35"/>
      <c r="Q141" s="35"/>
      <c r="R141" s="35"/>
      <c r="S141" s="89"/>
      <c r="T141" s="35"/>
      <c r="U141" s="42"/>
      <c r="V141" s="35"/>
      <c r="W141" s="53"/>
      <c r="X141" s="117"/>
      <c r="Y141" s="128"/>
      <c r="Z141" s="35"/>
      <c r="AA141" s="35"/>
      <c r="AB141" s="35"/>
      <c r="AC141" s="31">
        <f>SUM(AC5:AC140)</f>
        <v>1869.5086546506398</v>
      </c>
      <c r="AD141" s="51"/>
      <c r="AE141" s="56"/>
      <c r="AF141" s="56"/>
      <c r="AG141" s="56"/>
      <c r="AI141" s="42"/>
      <c r="AJ141" s="42"/>
      <c r="AK141" s="129"/>
      <c r="AL141" s="42"/>
      <c r="AM141" s="42"/>
      <c r="AN141" s="129"/>
      <c r="AO141" s="129"/>
      <c r="AP141" s="31">
        <f>SUM(AP5:AP140)</f>
        <v>117.95375625568158</v>
      </c>
      <c r="AQ141" s="129"/>
      <c r="AS141" s="130">
        <v>30.727058823529404</v>
      </c>
    </row>
    <row r="142" spans="1:48" ht="15">
      <c r="A142" s="1"/>
      <c r="B142" s="1"/>
      <c r="C142" s="1"/>
      <c r="D142" s="1"/>
      <c r="E142" s="1"/>
      <c r="F142" s="1"/>
      <c r="G142" s="1"/>
      <c r="H142" s="86"/>
      <c r="I142" s="1"/>
      <c r="J142" s="87"/>
      <c r="K142" s="3">
        <f>K141/129</f>
        <v>5.0476877817674133</v>
      </c>
      <c r="L142" s="1"/>
      <c r="M142" s="1"/>
      <c r="N142" s="35"/>
      <c r="O142" s="88"/>
      <c r="P142" s="35"/>
      <c r="Q142" s="35"/>
      <c r="R142" s="89"/>
      <c r="S142" s="51"/>
      <c r="T142" s="84"/>
      <c r="U142" s="87"/>
      <c r="W142" s="4"/>
      <c r="X142" s="4"/>
      <c r="Y142" s="4"/>
      <c r="Z142" s="21"/>
      <c r="AA142" s="28"/>
      <c r="AB142" s="23"/>
      <c r="AC142" s="3">
        <f>AC141/135</f>
        <v>13.848212256671406</v>
      </c>
      <c r="AD142" s="23"/>
      <c r="AE142" s="115"/>
      <c r="AF142" s="23"/>
      <c r="AG142" s="23"/>
      <c r="AH142" s="23"/>
      <c r="AI142" s="23"/>
      <c r="AJ142" s="23"/>
      <c r="AK142" s="23"/>
      <c r="AL142" s="23"/>
      <c r="AM142" s="116"/>
      <c r="AN142" s="82"/>
      <c r="AP142" s="3">
        <f>AP141/135</f>
        <v>0.87373152781986363</v>
      </c>
      <c r="AS142" s="123"/>
    </row>
    <row r="143" spans="1:48" ht="15">
      <c r="A143" s="90"/>
      <c r="B143" s="90"/>
      <c r="C143" s="90"/>
      <c r="D143" s="44"/>
      <c r="E143" s="90"/>
      <c r="F143" s="6"/>
      <c r="G143" s="90"/>
      <c r="H143" s="91"/>
      <c r="I143" s="90"/>
      <c r="J143" s="92"/>
      <c r="K143" s="93"/>
      <c r="L143" s="90"/>
      <c r="M143" s="90"/>
      <c r="N143" s="35"/>
      <c r="O143" s="94"/>
      <c r="P143" s="35"/>
      <c r="Q143" s="35"/>
      <c r="R143" s="89"/>
      <c r="S143" s="51"/>
      <c r="T143" s="84"/>
      <c r="U143" s="92"/>
      <c r="V143" s="117"/>
      <c r="W143" s="35"/>
      <c r="X143" s="88"/>
      <c r="Y143" s="88"/>
      <c r="Z143" s="51"/>
      <c r="AA143" s="83"/>
      <c r="AB143" s="84"/>
      <c r="AC143" s="84"/>
      <c r="AD143" s="84"/>
      <c r="AF143" s="118"/>
      <c r="AG143" s="118"/>
      <c r="AH143" s="84"/>
      <c r="AI143" s="84"/>
      <c r="AJ143" s="84"/>
      <c r="AK143" s="84"/>
      <c r="AL143" s="84"/>
      <c r="AM143" s="82"/>
      <c r="AN143" s="84"/>
      <c r="AS143" s="123"/>
    </row>
    <row r="144" spans="1:48">
      <c r="A144" s="96"/>
      <c r="B144" s="96"/>
      <c r="C144" s="96"/>
      <c r="D144" s="96"/>
      <c r="E144" s="96"/>
      <c r="F144" s="97"/>
      <c r="G144" s="96"/>
      <c r="H144" s="98"/>
      <c r="I144" s="97"/>
      <c r="J144" s="99"/>
      <c r="K144" s="100"/>
      <c r="L144" s="96"/>
      <c r="M144" s="96"/>
      <c r="N144" s="101"/>
      <c r="O144" s="101"/>
      <c r="P144" s="101"/>
      <c r="Q144" s="101"/>
      <c r="R144" s="102"/>
      <c r="S144" s="106"/>
      <c r="T144" s="107"/>
      <c r="U144" s="103"/>
      <c r="V144" s="104"/>
      <c r="W144" s="105"/>
      <c r="X144" s="101"/>
      <c r="Y144" s="101"/>
      <c r="Z144" s="106"/>
      <c r="AA144" s="106"/>
      <c r="AB144" s="107"/>
      <c r="AC144" s="107"/>
      <c r="AD144" s="107"/>
      <c r="AF144" s="107"/>
      <c r="AG144" s="107"/>
      <c r="AH144" s="120"/>
      <c r="AI144" s="107"/>
      <c r="AJ144" s="107"/>
      <c r="AK144" s="120"/>
      <c r="AL144" s="120"/>
      <c r="AM144" s="119"/>
      <c r="AN144" s="120"/>
    </row>
    <row r="145" spans="1:25" ht="15">
      <c r="A145" s="1"/>
      <c r="B145" s="1"/>
      <c r="F145" s="1"/>
      <c r="G145" s="1"/>
      <c r="I145" s="1"/>
      <c r="J145" s="1"/>
      <c r="O145" s="4"/>
      <c r="P145" s="4"/>
      <c r="R145" s="121"/>
      <c r="S145" s="122"/>
      <c r="Y145" s="28"/>
    </row>
    <row r="146" spans="1:25" ht="15">
      <c r="A146" s="1"/>
      <c r="B146" s="1"/>
      <c r="F146" s="1"/>
      <c r="G146" s="1"/>
      <c r="I146" s="1"/>
      <c r="J146" s="1"/>
      <c r="O146" s="4"/>
      <c r="P146" s="4"/>
      <c r="R146" s="121"/>
      <c r="S146" s="122"/>
      <c r="Y146" s="28"/>
    </row>
    <row r="147" spans="1:25" ht="15">
      <c r="A147" s="1"/>
      <c r="B147" s="1"/>
      <c r="F147" s="1"/>
      <c r="G147" s="1"/>
      <c r="I147" s="1"/>
      <c r="J147" s="1"/>
      <c r="O147" s="4"/>
      <c r="P147" s="4"/>
      <c r="R147" s="121"/>
      <c r="S147" s="122"/>
      <c r="Y147" s="28"/>
    </row>
    <row r="148" spans="1:25" ht="15">
      <c r="A148" s="1"/>
      <c r="B148" s="1"/>
      <c r="F148" s="1"/>
      <c r="G148" s="1"/>
      <c r="I148" s="1"/>
      <c r="J148" s="1"/>
      <c r="O148" s="4"/>
      <c r="P148" s="4"/>
      <c r="R148" s="121"/>
      <c r="S148" s="122"/>
      <c r="Y148" s="28"/>
    </row>
    <row r="149" spans="1:25" ht="15">
      <c r="A149" s="1"/>
      <c r="B149" s="1"/>
      <c r="F149" s="1"/>
      <c r="G149" s="1"/>
      <c r="I149" s="1"/>
      <c r="J149" s="1"/>
      <c r="O149" s="4"/>
      <c r="P149" s="4"/>
      <c r="R149" s="121"/>
      <c r="S149" s="122"/>
      <c r="Y149" s="28"/>
    </row>
    <row r="150" spans="1:25" ht="15">
      <c r="A150" s="1"/>
      <c r="B150" s="1"/>
      <c r="F150" s="1"/>
      <c r="G150" s="1"/>
      <c r="I150" s="1"/>
      <c r="J150" s="1"/>
      <c r="O150" s="4"/>
      <c r="P150" s="4"/>
      <c r="R150" s="121"/>
      <c r="S150" s="122"/>
      <c r="Y150" s="28"/>
    </row>
    <row r="151" spans="1:25" ht="15">
      <c r="A151" s="1"/>
      <c r="B151" s="1"/>
      <c r="F151" s="1"/>
      <c r="G151" s="1"/>
      <c r="I151" s="1"/>
      <c r="J151" s="1"/>
      <c r="O151" s="4"/>
      <c r="P151" s="4"/>
      <c r="R151" s="121"/>
      <c r="S151" s="122"/>
      <c r="Y151" s="28"/>
    </row>
    <row r="152" spans="1:25" ht="15">
      <c r="A152" s="1"/>
      <c r="B152" s="1"/>
      <c r="F152" s="1"/>
      <c r="G152" s="1"/>
      <c r="I152" s="1"/>
      <c r="J152" s="1"/>
      <c r="O152" s="4"/>
      <c r="P152" s="4"/>
      <c r="R152" s="121"/>
      <c r="S152" s="122"/>
      <c r="Y152" s="28"/>
    </row>
    <row r="153" spans="1:25">
      <c r="A153" s="1"/>
      <c r="B153" s="18"/>
      <c r="C153" s="3"/>
      <c r="D153" s="3"/>
      <c r="E153" s="3"/>
      <c r="F153" s="4"/>
      <c r="G153" s="3"/>
      <c r="H153" s="4"/>
      <c r="J153" s="1"/>
      <c r="K153" s="18"/>
      <c r="L153" s="3"/>
      <c r="M153" s="3"/>
      <c r="N153" s="3"/>
      <c r="O153" s="4"/>
      <c r="P153" s="3"/>
      <c r="Q153" s="4"/>
    </row>
    <row r="154" spans="1:25">
      <c r="A154" s="1"/>
      <c r="B154" s="18"/>
      <c r="C154" s="3"/>
      <c r="D154" s="3"/>
      <c r="E154" s="3"/>
      <c r="F154" s="4"/>
      <c r="G154" s="3"/>
      <c r="H154" s="4"/>
      <c r="J154" s="1"/>
      <c r="K154" s="18"/>
      <c r="L154" s="3"/>
      <c r="M154" s="3"/>
      <c r="N154" s="3"/>
      <c r="O154" s="4"/>
      <c r="P154" s="3"/>
      <c r="Q154" s="4"/>
    </row>
    <row r="155" spans="1:25">
      <c r="A155" s="1"/>
      <c r="B155" s="18"/>
      <c r="C155" s="3"/>
      <c r="D155" s="3"/>
      <c r="E155" s="3"/>
      <c r="F155" s="4"/>
      <c r="G155" s="3"/>
      <c r="H155" s="4"/>
      <c r="J155" s="1"/>
      <c r="K155" s="18"/>
      <c r="L155" s="3"/>
      <c r="M155" s="3"/>
      <c r="N155" s="3"/>
      <c r="O155" s="4"/>
      <c r="P155" s="3"/>
      <c r="Q155" s="4"/>
    </row>
    <row r="156" spans="1:25">
      <c r="A156" s="1"/>
      <c r="B156" s="18"/>
      <c r="C156" s="3"/>
      <c r="D156" s="3"/>
      <c r="E156" s="3"/>
      <c r="F156" s="4"/>
      <c r="G156" s="3"/>
      <c r="H156" s="4"/>
      <c r="J156" s="1"/>
      <c r="K156" s="18"/>
      <c r="L156" s="3"/>
      <c r="M156" s="3"/>
      <c r="N156" s="3"/>
      <c r="O156" s="4"/>
      <c r="P156" s="3"/>
      <c r="Q156" s="4"/>
    </row>
    <row r="157" spans="1:25">
      <c r="A157" s="1"/>
      <c r="B157" s="18"/>
      <c r="C157" s="3"/>
      <c r="D157" s="3"/>
      <c r="E157" s="3"/>
      <c r="F157" s="4"/>
      <c r="G157" s="3"/>
      <c r="H157" s="4"/>
      <c r="J157" s="1"/>
      <c r="K157" s="18"/>
      <c r="L157" s="3"/>
      <c r="M157" s="3"/>
      <c r="N157" s="3"/>
      <c r="O157" s="4"/>
      <c r="P157" s="3"/>
      <c r="Q157" s="4"/>
    </row>
    <row r="158" spans="1:25">
      <c r="A158" s="1"/>
      <c r="B158" s="18"/>
      <c r="C158" s="3"/>
      <c r="D158" s="3"/>
      <c r="E158" s="3"/>
      <c r="F158" s="4"/>
      <c r="G158" s="3"/>
      <c r="H158" s="4"/>
      <c r="J158" s="1"/>
      <c r="K158" s="18"/>
      <c r="L158" s="3"/>
      <c r="M158" s="3"/>
      <c r="N158" s="16"/>
      <c r="O158" s="4"/>
      <c r="P158" s="3"/>
      <c r="Q158" s="4"/>
    </row>
    <row r="159" spans="1:25">
      <c r="A159" s="25"/>
      <c r="B159" s="26"/>
      <c r="C159" s="27"/>
      <c r="D159" s="3"/>
      <c r="E159" s="3"/>
      <c r="F159" s="28"/>
      <c r="G159" s="23"/>
      <c r="H159" s="28"/>
      <c r="J159" s="25"/>
      <c r="K159" s="26"/>
      <c r="L159" s="27"/>
      <c r="M159" s="3"/>
      <c r="N159" s="3"/>
      <c r="O159" s="28"/>
      <c r="P159" s="23"/>
      <c r="Q159" s="28"/>
    </row>
    <row r="160" spans="1:25">
      <c r="A160" s="25"/>
      <c r="B160" s="26"/>
      <c r="C160" s="3"/>
      <c r="D160" s="3"/>
      <c r="E160" s="3"/>
      <c r="F160" s="28"/>
      <c r="G160" s="23"/>
      <c r="H160" s="28"/>
      <c r="J160" s="25"/>
      <c r="K160" s="26"/>
      <c r="L160" s="3"/>
      <c r="M160" s="3"/>
      <c r="N160" s="3"/>
      <c r="O160" s="28"/>
      <c r="P160" s="23"/>
      <c r="Q160" s="28"/>
    </row>
    <row r="161" spans="1:17">
      <c r="A161" s="25"/>
      <c r="B161" s="26"/>
      <c r="C161" s="27"/>
      <c r="D161" s="3"/>
      <c r="E161" s="3"/>
      <c r="F161" s="28"/>
      <c r="G161" s="23"/>
      <c r="H161" s="28"/>
      <c r="J161" s="25"/>
      <c r="K161" s="26"/>
      <c r="L161" s="27"/>
      <c r="M161" s="3"/>
      <c r="N161" s="3"/>
      <c r="O161" s="28"/>
      <c r="P161" s="23"/>
      <c r="Q161" s="28"/>
    </row>
    <row r="162" spans="1:17">
      <c r="A162" s="25"/>
      <c r="B162" s="26"/>
      <c r="C162" s="27"/>
      <c r="D162" s="3"/>
      <c r="E162" s="3"/>
      <c r="F162" s="28"/>
      <c r="G162" s="23"/>
      <c r="H162" s="28"/>
      <c r="J162" s="25"/>
      <c r="K162" s="26"/>
      <c r="L162" s="27"/>
      <c r="M162" s="3"/>
      <c r="N162" s="3"/>
      <c r="O162" s="28"/>
      <c r="P162" s="23"/>
      <c r="Q162" s="28"/>
    </row>
    <row r="163" spans="1:17">
      <c r="A163" s="1"/>
      <c r="B163" s="18"/>
      <c r="C163" s="3"/>
      <c r="D163" s="3"/>
      <c r="E163" s="16"/>
      <c r="F163" s="4"/>
      <c r="G163" s="23"/>
      <c r="H163" s="28"/>
      <c r="J163" s="24"/>
      <c r="K163" s="26"/>
      <c r="L163" s="27"/>
      <c r="M163" s="3"/>
      <c r="N163" s="3"/>
      <c r="O163" s="28"/>
      <c r="P163" s="23"/>
      <c r="Q163" s="28"/>
    </row>
    <row r="164" spans="1:17">
      <c r="A164" s="1"/>
      <c r="B164" s="18"/>
      <c r="C164" s="3"/>
      <c r="D164" s="3"/>
      <c r="E164" s="16"/>
      <c r="F164" s="4"/>
      <c r="G164" s="23"/>
      <c r="H164" s="28"/>
      <c r="J164" s="24"/>
      <c r="K164" s="26"/>
      <c r="L164" s="27"/>
      <c r="M164" s="3"/>
      <c r="N164" s="16"/>
      <c r="O164" s="28"/>
      <c r="P164" s="23"/>
      <c r="Q164" s="28"/>
    </row>
    <row r="165" spans="1:17">
      <c r="A165" s="1"/>
      <c r="B165" s="18"/>
      <c r="C165" s="3"/>
      <c r="D165" s="3"/>
      <c r="E165" s="16"/>
      <c r="F165" s="4"/>
      <c r="G165" s="23"/>
      <c r="H165" s="28"/>
      <c r="J165" s="1"/>
      <c r="K165" s="18"/>
      <c r="L165" s="3"/>
      <c r="M165" s="3"/>
      <c r="N165" s="16"/>
      <c r="O165" s="4"/>
      <c r="P165" s="23"/>
      <c r="Q165" s="28"/>
    </row>
    <row r="166" spans="1:17">
      <c r="A166" s="1"/>
      <c r="B166" s="18"/>
      <c r="C166" s="3"/>
      <c r="D166" s="3"/>
      <c r="E166" s="16"/>
      <c r="F166" s="4"/>
      <c r="G166" s="23"/>
      <c r="H166" s="28"/>
      <c r="J166" s="1"/>
      <c r="K166" s="18"/>
      <c r="L166" s="3"/>
      <c r="M166" s="3"/>
      <c r="N166" s="16"/>
      <c r="O166" s="4"/>
      <c r="P166" s="23"/>
      <c r="Q166" s="28"/>
    </row>
    <row r="167" spans="1:17">
      <c r="A167" s="1"/>
      <c r="B167" s="18"/>
      <c r="C167" s="3"/>
      <c r="D167" s="3"/>
      <c r="E167" s="16"/>
      <c r="F167" s="4"/>
      <c r="G167" s="23"/>
      <c r="H167" s="28"/>
      <c r="J167" s="1"/>
      <c r="K167" s="18"/>
      <c r="L167" s="3"/>
      <c r="M167" s="3"/>
      <c r="N167" s="16"/>
      <c r="O167" s="4"/>
      <c r="P167" s="23"/>
      <c r="Q167" s="28"/>
    </row>
    <row r="168" spans="1:17">
      <c r="A168" s="1"/>
      <c r="B168" s="18"/>
      <c r="C168" s="3"/>
      <c r="D168" s="3"/>
      <c r="E168" s="16"/>
      <c r="F168" s="4"/>
      <c r="G168" s="23"/>
      <c r="H168" s="28"/>
      <c r="J168" s="1"/>
      <c r="K168" s="18"/>
      <c r="L168" s="3"/>
      <c r="M168" s="3"/>
      <c r="N168" s="16"/>
      <c r="O168" s="4"/>
      <c r="P168" s="23"/>
      <c r="Q168" s="28"/>
    </row>
    <row r="169" spans="1:17">
      <c r="A169" s="1"/>
      <c r="B169" s="18"/>
      <c r="C169" s="27"/>
      <c r="D169" s="3"/>
      <c r="E169" s="16"/>
      <c r="F169" s="28"/>
      <c r="G169" s="23"/>
      <c r="H169" s="28"/>
      <c r="J169" s="1"/>
      <c r="K169" s="18"/>
      <c r="L169" s="3"/>
      <c r="M169" s="3"/>
      <c r="N169" s="16"/>
      <c r="O169" s="4"/>
      <c r="P169" s="23"/>
      <c r="Q169" s="28"/>
    </row>
    <row r="170" spans="1:17">
      <c r="A170" s="1"/>
      <c r="B170" s="18"/>
      <c r="C170" s="27"/>
      <c r="D170" s="3"/>
      <c r="E170" s="16"/>
      <c r="F170" s="28"/>
      <c r="G170" s="23"/>
      <c r="H170" s="28"/>
      <c r="J170" s="1"/>
      <c r="K170" s="18"/>
      <c r="L170" s="3"/>
      <c r="M170" s="3"/>
      <c r="N170" s="16"/>
      <c r="O170" s="4"/>
      <c r="P170" s="23"/>
      <c r="Q170" s="28"/>
    </row>
    <row r="171" spans="1:17">
      <c r="A171" s="1"/>
      <c r="B171" s="18"/>
      <c r="C171" s="27"/>
      <c r="D171" s="3"/>
      <c r="E171" s="16"/>
      <c r="F171" s="28"/>
      <c r="G171" s="23"/>
      <c r="H171" s="28"/>
      <c r="J171" s="1"/>
      <c r="K171" s="18"/>
      <c r="L171" s="27"/>
      <c r="M171" s="3"/>
      <c r="N171" s="16"/>
      <c r="O171" s="28"/>
      <c r="P171" s="23"/>
      <c r="Q171" s="28"/>
    </row>
    <row r="172" spans="1:17">
      <c r="A172" s="1"/>
      <c r="B172" s="18"/>
      <c r="C172" s="27"/>
      <c r="D172" s="3"/>
      <c r="E172" s="16"/>
      <c r="F172" s="28"/>
      <c r="G172" s="23"/>
      <c r="H172" s="28"/>
      <c r="J172" s="1"/>
      <c r="K172" s="18"/>
      <c r="L172" s="27"/>
      <c r="M172" s="3"/>
      <c r="N172" s="16"/>
      <c r="O172" s="28"/>
      <c r="P172" s="23"/>
      <c r="Q172" s="28"/>
    </row>
    <row r="173" spans="1:17">
      <c r="A173" s="1"/>
      <c r="B173" s="18"/>
      <c r="C173" s="27"/>
      <c r="D173" s="3"/>
      <c r="E173" s="16"/>
      <c r="F173" s="28"/>
      <c r="G173" s="23"/>
      <c r="H173" s="28"/>
      <c r="J173" s="1"/>
      <c r="K173" s="18"/>
      <c r="L173" s="27"/>
      <c r="M173" s="3"/>
      <c r="N173" s="16"/>
      <c r="O173" s="28"/>
      <c r="P173" s="23"/>
      <c r="Q173" s="28"/>
    </row>
    <row r="174" spans="1:17">
      <c r="A174" s="1"/>
      <c r="B174" s="18"/>
      <c r="C174" s="23"/>
      <c r="D174" s="23"/>
      <c r="E174" s="16"/>
      <c r="F174" s="28"/>
      <c r="G174" s="23"/>
      <c r="H174" s="28"/>
      <c r="J174" s="1"/>
      <c r="K174" s="18"/>
      <c r="L174" s="27"/>
      <c r="M174" s="3"/>
      <c r="N174" s="16"/>
      <c r="O174" s="28"/>
      <c r="P174" s="23"/>
      <c r="Q174" s="28"/>
    </row>
    <row r="175" spans="1:17">
      <c r="A175" s="1"/>
      <c r="B175" s="18"/>
      <c r="C175" s="23"/>
      <c r="D175" s="23"/>
      <c r="E175" s="16"/>
      <c r="F175" s="28"/>
      <c r="G175" s="23"/>
      <c r="H175" s="28"/>
      <c r="J175" s="1"/>
      <c r="K175" s="18"/>
      <c r="L175" s="27"/>
      <c r="M175" s="3"/>
      <c r="N175" s="16"/>
      <c r="O175" s="28"/>
      <c r="P175" s="23"/>
      <c r="Q175" s="28"/>
    </row>
    <row r="176" spans="1:17">
      <c r="A176" s="1"/>
      <c r="B176" s="18"/>
      <c r="C176" s="23"/>
      <c r="D176" s="23"/>
      <c r="E176" s="16"/>
      <c r="F176" s="28"/>
      <c r="G176" s="23"/>
      <c r="H176" s="28"/>
      <c r="J176" s="1"/>
      <c r="K176" s="18"/>
      <c r="L176" s="23"/>
      <c r="M176" s="23"/>
      <c r="N176" s="16"/>
      <c r="O176" s="28"/>
      <c r="P176" s="23"/>
      <c r="Q176" s="28"/>
    </row>
    <row r="177" spans="1:17">
      <c r="A177" s="1"/>
      <c r="B177" s="18"/>
      <c r="C177" s="23"/>
      <c r="D177" s="23"/>
      <c r="E177" s="16"/>
      <c r="F177" s="28"/>
      <c r="G177" s="23"/>
      <c r="H177" s="28"/>
      <c r="J177" s="1"/>
      <c r="K177" s="18"/>
      <c r="L177" s="23"/>
      <c r="M177" s="23"/>
      <c r="N177" s="16"/>
      <c r="O177" s="28"/>
      <c r="P177" s="23"/>
      <c r="Q177" s="28"/>
    </row>
    <row r="178" spans="1:17">
      <c r="J178" s="1"/>
      <c r="K178" s="18"/>
      <c r="L178" s="23"/>
      <c r="M178" s="23"/>
      <c r="N178" s="16"/>
      <c r="O178" s="28"/>
      <c r="P178" s="23"/>
      <c r="Q178" s="28"/>
    </row>
    <row r="179" spans="1:17">
      <c r="J179" s="1"/>
      <c r="K179" s="18"/>
      <c r="L179" s="23"/>
      <c r="M179" s="23"/>
      <c r="N179" s="16"/>
      <c r="O179" s="28"/>
      <c r="P179" s="23"/>
      <c r="Q179" s="28"/>
    </row>
    <row r="180" spans="1:17">
      <c r="J180" s="1"/>
      <c r="K180" s="18"/>
      <c r="L180" s="23"/>
      <c r="M180" s="23"/>
      <c r="N180" s="16"/>
      <c r="O180" s="28"/>
      <c r="P180" s="23"/>
      <c r="Q180" s="28"/>
    </row>
  </sheetData>
  <phoneticPr fontId="9" type="noConversion"/>
  <dataValidations count="1">
    <dataValidation allowBlank="1" showErrorMessage="1" sqref="V122:V124 V117:V120"/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 S</vt:lpstr>
      <vt:lpstr>Data B</vt:lpstr>
      <vt:lpstr>Data</vt:lpstr>
      <vt:lpstr>TN - S</vt:lpstr>
      <vt:lpstr>Chl A - S</vt:lpstr>
      <vt:lpstr>DO - 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Larry Ballantine</cp:lastModifiedBy>
  <cp:lastPrinted>2010-11-03T16:14:20Z</cp:lastPrinted>
  <dcterms:created xsi:type="dcterms:W3CDTF">2009-06-22T16:32:57Z</dcterms:created>
  <dcterms:modified xsi:type="dcterms:W3CDTF">2016-01-12T20:26:16Z</dcterms:modified>
</cp:coreProperties>
</file>