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4985" windowHeight="7995"/>
  </bookViews>
  <sheets>
    <sheet name="DO" sheetId="4" r:id="rId1"/>
    <sheet name="TN" sheetId="8" r:id="rId2"/>
    <sheet name="Chl A" sheetId="9" r:id="rId3"/>
    <sheet name="Data" sheetId="1" r:id="rId4"/>
  </sheets>
  <externalReferences>
    <externalReference r:id="rId5"/>
  </externalReferences>
  <definedNames>
    <definedName name="_xlnm._FilterDatabase" localSheetId="3" hidden="1">Data!$A$4:$AN$41</definedName>
  </definedNames>
  <calcPr calcId="125725"/>
</workbook>
</file>

<file path=xl/calcChain.xml><?xml version="1.0" encoding="utf-8"?>
<calcChain xmlns="http://schemas.openxmlformats.org/spreadsheetml/2006/main">
  <c r="AQ67" i="1"/>
  <c r="AQ66"/>
  <c r="AQ65"/>
  <c r="AD67"/>
  <c r="AD66"/>
  <c r="AD65"/>
  <c r="L67"/>
  <c r="L66"/>
  <c r="L65"/>
  <c r="AQ64"/>
  <c r="AQ62"/>
  <c r="AQ61"/>
  <c r="AQ60"/>
  <c r="AQ59"/>
  <c r="AQ58"/>
  <c r="AQ57"/>
  <c r="AQ56"/>
  <c r="AQ55"/>
  <c r="AQ54"/>
  <c r="AJ64"/>
  <c r="AJ62"/>
  <c r="AJ61"/>
  <c r="AJ60"/>
  <c r="AJ59"/>
  <c r="AJ58"/>
  <c r="AJ57"/>
  <c r="AJ56"/>
  <c r="AJ55"/>
  <c r="AJ54"/>
  <c r="X64"/>
  <c r="X63"/>
  <c r="X62"/>
  <c r="X61"/>
  <c r="X60"/>
  <c r="X59"/>
  <c r="X58"/>
  <c r="X57"/>
  <c r="X56"/>
  <c r="X55"/>
  <c r="X54"/>
  <c r="V64"/>
  <c r="V63"/>
  <c r="V62"/>
  <c r="V61"/>
  <c r="V60"/>
  <c r="V59"/>
  <c r="V58"/>
  <c r="V57"/>
  <c r="V56"/>
  <c r="V55"/>
  <c r="V54"/>
  <c r="H53"/>
  <c r="H52"/>
  <c r="H51"/>
  <c r="H50"/>
  <c r="H49"/>
  <c r="H48"/>
  <c r="H47"/>
  <c r="H46"/>
  <c r="H45"/>
  <c r="H44"/>
  <c r="H43"/>
  <c r="H42"/>
  <c r="V45"/>
  <c r="V44"/>
  <c r="V43"/>
  <c r="V42"/>
  <c r="X45"/>
  <c r="X44"/>
  <c r="X43"/>
  <c r="X42"/>
  <c r="Z45"/>
  <c r="AE45"/>
  <c r="AJ45"/>
  <c r="AJ44"/>
  <c r="AJ43"/>
  <c r="AJ42"/>
  <c r="AL45"/>
  <c r="AL44"/>
  <c r="AL43"/>
  <c r="AL42"/>
  <c r="AL38"/>
  <c r="AL39"/>
  <c r="AL40"/>
  <c r="AL41"/>
  <c r="AL33"/>
  <c r="AL34"/>
  <c r="AL35"/>
  <c r="AL36"/>
  <c r="AL37"/>
  <c r="AE41"/>
  <c r="AE37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L32"/>
  <c r="AJ33"/>
  <c r="AJ34"/>
  <c r="AJ35"/>
  <c r="AJ36"/>
  <c r="AJ37"/>
  <c r="AJ38"/>
  <c r="AJ39"/>
  <c r="AJ40"/>
  <c r="AJ41"/>
  <c r="Z41"/>
  <c r="X41"/>
  <c r="V41"/>
  <c r="N41"/>
  <c r="I41"/>
  <c r="X40"/>
  <c r="V40"/>
  <c r="X39"/>
  <c r="V39"/>
  <c r="X38"/>
  <c r="V38"/>
  <c r="X37"/>
  <c r="V37"/>
  <c r="L37"/>
  <c r="X36"/>
  <c r="V36"/>
  <c r="L36"/>
  <c r="X35"/>
  <c r="V35"/>
  <c r="L35"/>
  <c r="X34"/>
  <c r="V34"/>
  <c r="L34"/>
  <c r="X33"/>
  <c r="V33"/>
  <c r="L33"/>
  <c r="AL27"/>
  <c r="AL28"/>
  <c r="AL29"/>
  <c r="AL30"/>
  <c r="AL31"/>
  <c r="AL32"/>
  <c r="AJ27"/>
  <c r="AJ28"/>
  <c r="AJ29"/>
  <c r="AJ30"/>
  <c r="AJ31"/>
  <c r="AJ32"/>
  <c r="AE32"/>
  <c r="Z32"/>
  <c r="X32"/>
  <c r="V32"/>
  <c r="M28"/>
  <c r="M29"/>
  <c r="M30"/>
  <c r="M31"/>
  <c r="M32"/>
  <c r="I32"/>
  <c r="X31"/>
  <c r="V31"/>
  <c r="L31"/>
  <c r="X30"/>
  <c r="V30"/>
  <c r="L30"/>
  <c r="X29"/>
  <c r="V29"/>
  <c r="L29"/>
  <c r="X28"/>
  <c r="V28"/>
  <c r="L28"/>
  <c r="X27"/>
  <c r="V27"/>
  <c r="L27"/>
  <c r="AL21"/>
  <c r="AL22"/>
  <c r="AL23"/>
  <c r="AL24"/>
  <c r="AL25"/>
  <c r="AL26"/>
  <c r="AJ21"/>
  <c r="AJ22"/>
  <c r="AJ23"/>
  <c r="AJ24"/>
  <c r="AJ25"/>
  <c r="AJ26"/>
  <c r="AD21"/>
  <c r="AD22"/>
  <c r="AD23"/>
  <c r="AD24"/>
  <c r="AD25"/>
  <c r="AD26"/>
  <c r="Z26"/>
  <c r="X26"/>
  <c r="V26"/>
  <c r="N26"/>
  <c r="I26"/>
  <c r="X25"/>
  <c r="V25"/>
  <c r="X24"/>
  <c r="V24"/>
  <c r="X23"/>
  <c r="V23"/>
  <c r="X22"/>
  <c r="V22"/>
  <c r="X21"/>
  <c r="V21"/>
  <c r="AL15"/>
  <c r="AL16"/>
  <c r="AL17"/>
  <c r="AL18"/>
  <c r="AL19"/>
  <c r="AL20"/>
  <c r="AJ15"/>
  <c r="AJ16"/>
  <c r="AJ17"/>
  <c r="AJ18"/>
  <c r="AJ19"/>
  <c r="AJ20"/>
  <c r="AD15"/>
  <c r="AD16"/>
  <c r="AD17"/>
  <c r="AD18"/>
  <c r="AD19"/>
  <c r="AD20"/>
  <c r="Z20"/>
  <c r="X20"/>
  <c r="V20"/>
  <c r="X19"/>
  <c r="V19"/>
  <c r="X18"/>
  <c r="V18"/>
  <c r="X17"/>
  <c r="V17"/>
  <c r="X16"/>
  <c r="V16"/>
  <c r="X15"/>
  <c r="V15"/>
  <c r="AL9"/>
  <c r="AL10"/>
  <c r="AL11"/>
  <c r="AL12"/>
  <c r="AL13"/>
  <c r="AL14"/>
  <c r="AI9"/>
  <c r="AJ9" s="1"/>
  <c r="AI10"/>
  <c r="AJ10" s="1"/>
  <c r="AI11"/>
  <c r="AJ11" s="1"/>
  <c r="AI12"/>
  <c r="AJ12" s="1"/>
  <c r="AI13"/>
  <c r="AJ13" s="1"/>
  <c r="AI14"/>
  <c r="AJ14" s="1"/>
  <c r="AE14"/>
  <c r="Z14"/>
  <c r="V14"/>
  <c r="N14"/>
  <c r="I14"/>
  <c r="V13"/>
  <c r="V12"/>
  <c r="V11"/>
  <c r="V10"/>
  <c r="V9"/>
  <c r="AL5"/>
  <c r="AL6"/>
  <c r="AL7"/>
  <c r="AL8"/>
  <c r="AK8"/>
  <c r="AE8"/>
  <c r="Z8"/>
  <c r="N8"/>
  <c r="I8"/>
  <c r="X7"/>
  <c r="AE26" l="1"/>
  <c r="AK41"/>
  <c r="AE20"/>
  <c r="AM8"/>
  <c r="AM14"/>
  <c r="AM26"/>
  <c r="N32"/>
  <c r="AK32"/>
  <c r="AM37"/>
  <c r="AM41"/>
  <c r="AK20"/>
  <c r="AM20"/>
  <c r="AK26"/>
  <c r="AM45"/>
  <c r="AK45"/>
  <c r="AM32"/>
  <c r="AK14"/>
</calcChain>
</file>

<file path=xl/sharedStrings.xml><?xml version="1.0" encoding="utf-8"?>
<sst xmlns="http://schemas.openxmlformats.org/spreadsheetml/2006/main" count="360" uniqueCount="73">
  <si>
    <t>Wychmere Outer Harbor</t>
  </si>
  <si>
    <t>Total</t>
  </si>
  <si>
    <t xml:space="preserve">Secchi </t>
  </si>
  <si>
    <t>Measurement</t>
  </si>
  <si>
    <t>Wind</t>
  </si>
  <si>
    <t>Water</t>
  </si>
  <si>
    <t>Salinity</t>
  </si>
  <si>
    <t>Chl-a</t>
  </si>
  <si>
    <t>Phaeo</t>
  </si>
  <si>
    <t>TN</t>
  </si>
  <si>
    <t>Station No.</t>
  </si>
  <si>
    <t>Depth ID</t>
  </si>
  <si>
    <t>Station Location</t>
  </si>
  <si>
    <t>Time</t>
  </si>
  <si>
    <t>Depth (m)</t>
  </si>
  <si>
    <t>Mean</t>
  </si>
  <si>
    <t>Temp C</t>
  </si>
  <si>
    <t>D.O. mg/L</t>
  </si>
  <si>
    <t>% D.O.</t>
  </si>
  <si>
    <t>Weather</t>
  </si>
  <si>
    <t>Beaufort</t>
  </si>
  <si>
    <t>Direction</t>
  </si>
  <si>
    <t xml:space="preserve"> Condition</t>
  </si>
  <si>
    <t>(ppt)</t>
  </si>
  <si>
    <r>
      <t>uM PO</t>
    </r>
    <r>
      <rPr>
        <b/>
        <u/>
        <vertAlign val="subscript"/>
        <sz val="10"/>
        <rFont val="Arial"/>
        <family val="2"/>
      </rPr>
      <t>4</t>
    </r>
    <r>
      <rPr>
        <b/>
        <u/>
        <vertAlign val="superscript"/>
        <sz val="10"/>
        <rFont val="Arial"/>
        <family val="2"/>
      </rPr>
      <t>3-</t>
    </r>
  </si>
  <si>
    <r>
      <t>uM NH</t>
    </r>
    <r>
      <rPr>
        <b/>
        <u/>
        <vertAlign val="subscript"/>
        <sz val="10"/>
        <rFont val="Arial"/>
        <family val="2"/>
      </rPr>
      <t>4</t>
    </r>
    <r>
      <rPr>
        <b/>
        <u/>
        <vertAlign val="superscript"/>
        <sz val="10"/>
        <rFont val="Arial"/>
        <family val="2"/>
      </rPr>
      <t>+</t>
    </r>
  </si>
  <si>
    <t>mg/L NH4</t>
  </si>
  <si>
    <r>
      <t>uM NO</t>
    </r>
    <r>
      <rPr>
        <b/>
        <u/>
        <vertAlign val="subscript"/>
        <sz val="10"/>
        <rFont val="Arial"/>
        <family val="2"/>
      </rPr>
      <t>x</t>
    </r>
  </si>
  <si>
    <t>mg/L NO3</t>
  </si>
  <si>
    <t>uM DIN</t>
  </si>
  <si>
    <t>uM DON</t>
  </si>
  <si>
    <t>ug/L</t>
  </si>
  <si>
    <t>Chl A</t>
  </si>
  <si>
    <t>Ratio</t>
  </si>
  <si>
    <t>POC (uM)</t>
  </si>
  <si>
    <t>PON (uM)</t>
  </si>
  <si>
    <t>TON (uM)</t>
  </si>
  <si>
    <t>TON (mg/L)</t>
  </si>
  <si>
    <t>C/N Ratio</t>
  </si>
  <si>
    <t>(uM)</t>
  </si>
  <si>
    <t>2A</t>
  </si>
  <si>
    <t>M</t>
  </si>
  <si>
    <t>Clear</t>
  </si>
  <si>
    <t>NE</t>
  </si>
  <si>
    <t>NW</t>
  </si>
  <si>
    <t>Fog/Haze</t>
  </si>
  <si>
    <t>SW</t>
  </si>
  <si>
    <t>Partly Cloudy</t>
  </si>
  <si>
    <t>E</t>
  </si>
  <si>
    <t>Drizzle</t>
  </si>
  <si>
    <t>SE</t>
  </si>
  <si>
    <t>Overcast</t>
  </si>
  <si>
    <t>Cloudy</t>
  </si>
  <si>
    <t>N</t>
  </si>
  <si>
    <t>W</t>
  </si>
  <si>
    <t>clear</t>
  </si>
  <si>
    <t>overcast</t>
  </si>
  <si>
    <t>cloudy</t>
  </si>
  <si>
    <t>S</t>
  </si>
  <si>
    <t>Secchi Depth (m)</t>
  </si>
  <si>
    <t>Station Depth (m)</t>
  </si>
  <si>
    <t>ND</t>
  </si>
  <si>
    <t>(mg/L)</t>
  </si>
  <si>
    <t>TDN</t>
  </si>
  <si>
    <t>Muddy</t>
  </si>
  <si>
    <t>algae/plants</t>
  </si>
  <si>
    <t>N/A</t>
  </si>
  <si>
    <t>CLOUDY</t>
  </si>
  <si>
    <t>SSW</t>
  </si>
  <si>
    <t>&lt;0.1</t>
  </si>
  <si>
    <t>&lt;0.05</t>
  </si>
  <si>
    <t>cloudy, algae/plants</t>
  </si>
  <si>
    <t>machine error</t>
  </si>
</sst>
</file>

<file path=xl/styles.xml><?xml version="1.0" encoding="utf-8"?>
<styleSheet xmlns="http://schemas.openxmlformats.org/spreadsheetml/2006/main">
  <numFmts count="5">
    <numFmt numFmtId="164" formatCode="m/d/yy;@"/>
    <numFmt numFmtId="165" formatCode="0.0"/>
    <numFmt numFmtId="166" formatCode="0.0000"/>
    <numFmt numFmtId="167" formatCode="0.000"/>
    <numFmt numFmtId="168" formatCode="h:mm;@"/>
  </numFmts>
  <fonts count="1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vertAlign val="subscript"/>
      <sz val="10"/>
      <name val="Arial"/>
      <family val="2"/>
    </font>
    <font>
      <b/>
      <u/>
      <vertAlign val="superscript"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20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quotePrefix="1" applyNumberFormat="1" applyBorder="1" applyAlignment="1" applyProtection="1">
      <alignment horizontal="center"/>
    </xf>
    <xf numFmtId="2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0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</xf>
    <xf numFmtId="2" fontId="0" fillId="0" borderId="0" xfId="1" applyNumberFormat="1" applyFont="1" applyFill="1" applyBorder="1" applyAlignment="1" applyProtection="1">
      <alignment horizontal="center"/>
    </xf>
    <xf numFmtId="2" fontId="0" fillId="0" borderId="0" xfId="1" applyNumberFormat="1" applyFont="1" applyBorder="1" applyAlignment="1" applyProtection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2" fontId="3" fillId="0" borderId="0" xfId="0" quotePrefix="1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quotePrefix="1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quotePrefix="1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168" fontId="2" fillId="0" borderId="0" xfId="0" applyNumberFormat="1" applyFont="1" applyAlignment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165" fontId="0" fillId="0" borderId="0" xfId="0" quotePrefix="1" applyNumberFormat="1" applyFill="1" applyBorder="1" applyAlignment="1" applyProtection="1">
      <alignment horizontal="center"/>
    </xf>
    <xf numFmtId="2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168" fontId="0" fillId="0" borderId="0" xfId="0" applyNumberFormat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9" fontId="0" fillId="0" borderId="0" xfId="0" applyNumberForma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9" fontId="8" fillId="0" borderId="0" xfId="1" applyFont="1" applyFill="1" applyAlignment="1">
      <alignment horizontal="center"/>
    </xf>
    <xf numFmtId="167" fontId="2" fillId="0" borderId="0" xfId="0" applyNumberFormat="1" applyFont="1" applyAlignment="1">
      <alignment horizontal="center"/>
    </xf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Wychmere Outer Harbor 
Dissolved Oxygen</a:t>
            </a:r>
          </a:p>
        </c:rich>
      </c:tx>
      <c:layout>
        <c:manualLayout>
          <c:xMode val="edge"/>
          <c:yMode val="edge"/>
          <c:x val="0.39400665926748085"/>
          <c:y val="1.95758564437194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801331853496137E-2"/>
          <c:y val="0.15660685154975529"/>
          <c:w val="0.88457269700332952"/>
          <c:h val="0.7765089722675369"/>
        </c:manualLayout>
      </c:layout>
      <c:scatterChart>
        <c:scatterStyle val="lineMarker"/>
        <c:ser>
          <c:idx val="0"/>
          <c:order val="0"/>
          <c:tx>
            <c:strRef>
              <c:f>Data!$L$4</c:f>
              <c:strCache>
                <c:ptCount val="1"/>
                <c:pt idx="0">
                  <c:v>D.O. mg/L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Data!$D$5:$D$64</c:f>
              <c:numCache>
                <c:formatCode>m/d/yy;@</c:formatCode>
                <c:ptCount val="60"/>
                <c:pt idx="0">
                  <c:v>37448</c:v>
                </c:pt>
                <c:pt idx="1">
                  <c:v>37462</c:v>
                </c:pt>
                <c:pt idx="2">
                  <c:v>37481</c:v>
                </c:pt>
                <c:pt idx="3">
                  <c:v>37525</c:v>
                </c:pt>
                <c:pt idx="4">
                  <c:v>37790</c:v>
                </c:pt>
                <c:pt idx="5">
                  <c:v>37805</c:v>
                </c:pt>
                <c:pt idx="6">
                  <c:v>37819</c:v>
                </c:pt>
                <c:pt idx="7">
                  <c:v>37838</c:v>
                </c:pt>
                <c:pt idx="8">
                  <c:v>37852</c:v>
                </c:pt>
                <c:pt idx="9">
                  <c:v>37867</c:v>
                </c:pt>
                <c:pt idx="10">
                  <c:v>38161</c:v>
                </c:pt>
                <c:pt idx="11">
                  <c:v>38175</c:v>
                </c:pt>
                <c:pt idx="12">
                  <c:v>38190</c:v>
                </c:pt>
                <c:pt idx="13">
                  <c:v>38204</c:v>
                </c:pt>
                <c:pt idx="14">
                  <c:v>38218</c:v>
                </c:pt>
                <c:pt idx="15">
                  <c:v>38237</c:v>
                </c:pt>
                <c:pt idx="16">
                  <c:v>38517</c:v>
                </c:pt>
                <c:pt idx="17">
                  <c:v>38546</c:v>
                </c:pt>
                <c:pt idx="18">
                  <c:v>38559</c:v>
                </c:pt>
                <c:pt idx="19">
                  <c:v>38574</c:v>
                </c:pt>
                <c:pt idx="20">
                  <c:v>38588</c:v>
                </c:pt>
                <c:pt idx="21">
                  <c:v>38603</c:v>
                </c:pt>
                <c:pt idx="22">
                  <c:v>38888</c:v>
                </c:pt>
                <c:pt idx="23">
                  <c:v>38903</c:v>
                </c:pt>
                <c:pt idx="24">
                  <c:v>38917</c:v>
                </c:pt>
                <c:pt idx="25">
                  <c:v>38931</c:v>
                </c:pt>
                <c:pt idx="26">
                  <c:v>38945</c:v>
                </c:pt>
                <c:pt idx="27">
                  <c:v>38973</c:v>
                </c:pt>
                <c:pt idx="28">
                  <c:v>39254</c:v>
                </c:pt>
                <c:pt idx="29">
                  <c:v>39282</c:v>
                </c:pt>
                <c:pt idx="30">
                  <c:v>39301</c:v>
                </c:pt>
                <c:pt idx="31">
                  <c:v>39315</c:v>
                </c:pt>
                <c:pt idx="32">
                  <c:v>39343</c:v>
                </c:pt>
                <c:pt idx="33">
                  <c:v>39638</c:v>
                </c:pt>
                <c:pt idx="34">
                  <c:v>39667</c:v>
                </c:pt>
                <c:pt idx="35">
                  <c:v>39686</c:v>
                </c:pt>
                <c:pt idx="36">
                  <c:v>39700</c:v>
                </c:pt>
                <c:pt idx="37">
                  <c:v>40008</c:v>
                </c:pt>
                <c:pt idx="38">
                  <c:v>40022</c:v>
                </c:pt>
                <c:pt idx="39">
                  <c:v>40037</c:v>
                </c:pt>
                <c:pt idx="40">
                  <c:v>40051</c:v>
                </c:pt>
                <c:pt idx="41">
                  <c:v>40360</c:v>
                </c:pt>
                <c:pt idx="42">
                  <c:v>40374</c:v>
                </c:pt>
                <c:pt idx="43">
                  <c:v>40393</c:v>
                </c:pt>
                <c:pt idx="44">
                  <c:v>40407</c:v>
                </c:pt>
                <c:pt idx="45">
                  <c:v>40731</c:v>
                </c:pt>
                <c:pt idx="46">
                  <c:v>40745</c:v>
                </c:pt>
                <c:pt idx="47">
                  <c:v>40759</c:v>
                </c:pt>
                <c:pt idx="48">
                  <c:v>40773</c:v>
                </c:pt>
                <c:pt idx="49">
                  <c:v>41101</c:v>
                </c:pt>
                <c:pt idx="50">
                  <c:v>41115</c:v>
                </c:pt>
                <c:pt idx="51">
                  <c:v>41129</c:v>
                </c:pt>
                <c:pt idx="52">
                  <c:v>41143</c:v>
                </c:pt>
                <c:pt idx="53">
                  <c:v>41466</c:v>
                </c:pt>
                <c:pt idx="54">
                  <c:v>41480</c:v>
                </c:pt>
                <c:pt idx="55">
                  <c:v>41499</c:v>
                </c:pt>
                <c:pt idx="56">
                  <c:v>41836</c:v>
                </c:pt>
                <c:pt idx="57">
                  <c:v>41851</c:v>
                </c:pt>
                <c:pt idx="58">
                  <c:v>41865</c:v>
                </c:pt>
                <c:pt idx="59">
                  <c:v>41879</c:v>
                </c:pt>
              </c:numCache>
            </c:numRef>
          </c:xVal>
          <c:yVal>
            <c:numRef>
              <c:f>Data!$L$5:$L$64</c:f>
              <c:numCache>
                <c:formatCode>0.00</c:formatCode>
                <c:ptCount val="60"/>
                <c:pt idx="0">
                  <c:v>6.4</c:v>
                </c:pt>
                <c:pt idx="1">
                  <c:v>6.3</c:v>
                </c:pt>
                <c:pt idx="2">
                  <c:v>5.68</c:v>
                </c:pt>
                <c:pt idx="3">
                  <c:v>6.05</c:v>
                </c:pt>
                <c:pt idx="4">
                  <c:v>7.1</c:v>
                </c:pt>
                <c:pt idx="5">
                  <c:v>6.36</c:v>
                </c:pt>
                <c:pt idx="6">
                  <c:v>5.62</c:v>
                </c:pt>
                <c:pt idx="7">
                  <c:v>4.62</c:v>
                </c:pt>
                <c:pt idx="8">
                  <c:v>6.24</c:v>
                </c:pt>
                <c:pt idx="9">
                  <c:v>6.2</c:v>
                </c:pt>
                <c:pt idx="16">
                  <c:v>6.02</c:v>
                </c:pt>
                <c:pt idx="17">
                  <c:v>7.23</c:v>
                </c:pt>
                <c:pt idx="18">
                  <c:v>5.16</c:v>
                </c:pt>
                <c:pt idx="19">
                  <c:v>5</c:v>
                </c:pt>
                <c:pt idx="20">
                  <c:v>6.8</c:v>
                </c:pt>
                <c:pt idx="21">
                  <c:v>7.12</c:v>
                </c:pt>
                <c:pt idx="22">
                  <c:v>5.4350000000000005</c:v>
                </c:pt>
                <c:pt idx="23">
                  <c:v>5.68</c:v>
                </c:pt>
                <c:pt idx="24">
                  <c:v>5.585</c:v>
                </c:pt>
                <c:pt idx="25">
                  <c:v>5.2650000000000006</c:v>
                </c:pt>
                <c:pt idx="26">
                  <c:v>5.37</c:v>
                </c:pt>
                <c:pt idx="27">
                  <c:v>7.17</c:v>
                </c:pt>
                <c:pt idx="28">
                  <c:v>7.0149999999999997</c:v>
                </c:pt>
                <c:pt idx="29">
                  <c:v>5.05</c:v>
                </c:pt>
                <c:pt idx="30">
                  <c:v>4.8449999999999998</c:v>
                </c:pt>
                <c:pt idx="31">
                  <c:v>6.7050000000000001</c:v>
                </c:pt>
                <c:pt idx="32">
                  <c:v>7.48</c:v>
                </c:pt>
                <c:pt idx="33">
                  <c:v>3.9892958327901065</c:v>
                </c:pt>
                <c:pt idx="34">
                  <c:v>4.5456060279873967</c:v>
                </c:pt>
                <c:pt idx="35">
                  <c:v>4.6813493928655836</c:v>
                </c:pt>
                <c:pt idx="36">
                  <c:v>5.1831616397902902</c:v>
                </c:pt>
                <c:pt idx="37">
                  <c:v>4.9737221178360196</c:v>
                </c:pt>
                <c:pt idx="38">
                  <c:v>4.7267791750439105</c:v>
                </c:pt>
                <c:pt idx="39">
                  <c:v>4.8215219814838299</c:v>
                </c:pt>
                <c:pt idx="40">
                  <c:v>4.332330777832059</c:v>
                </c:pt>
                <c:pt idx="41">
                  <c:v>4.9351047911908132</c:v>
                </c:pt>
                <c:pt idx="42">
                  <c:v>4.1394908001398658</c:v>
                </c:pt>
                <c:pt idx="43">
                  <c:v>5.2001091714948338</c:v>
                </c:pt>
                <c:pt idx="44">
                  <c:v>4.8136724841728951</c:v>
                </c:pt>
                <c:pt idx="45">
                  <c:v>4.6323240184713095</c:v>
                </c:pt>
                <c:pt idx="46">
                  <c:v>4.4058323651392008</c:v>
                </c:pt>
                <c:pt idx="47">
                  <c:v>4.9733414171167603</c:v>
                </c:pt>
                <c:pt idx="48">
                  <c:v>6.0051764094000788</c:v>
                </c:pt>
                <c:pt idx="49">
                  <c:v>4.8476217611694032</c:v>
                </c:pt>
                <c:pt idx="50">
                  <c:v>4.4239879798495858</c:v>
                </c:pt>
                <c:pt idx="51">
                  <c:v>4.8653743765954873</c:v>
                </c:pt>
                <c:pt idx="52">
                  <c:v>5.6100913603144518</c:v>
                </c:pt>
                <c:pt idx="53">
                  <c:v>5.3</c:v>
                </c:pt>
                <c:pt idx="54">
                  <c:v>4</c:v>
                </c:pt>
                <c:pt idx="55">
                  <c:v>4.7</c:v>
                </c:pt>
                <c:pt idx="56">
                  <c:v>4.63</c:v>
                </c:pt>
                <c:pt idx="57">
                  <c:v>5.78</c:v>
                </c:pt>
                <c:pt idx="58">
                  <c:v>5.68</c:v>
                </c:pt>
                <c:pt idx="59">
                  <c:v>3.9</c:v>
                </c:pt>
              </c:numCache>
            </c:numRef>
          </c:yVal>
        </c:ser>
        <c:axId val="35168256"/>
        <c:axId val="35169024"/>
      </c:scatterChart>
      <c:valAx>
        <c:axId val="35168256"/>
        <c:scaling>
          <c:orientation val="minMax"/>
        </c:scaling>
        <c:axPos val="b"/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69024"/>
        <c:crosses val="autoZero"/>
        <c:crossBetween val="midCat"/>
      </c:valAx>
      <c:valAx>
        <c:axId val="351690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D.O. - mg/L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450244698205558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682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Wychmere Outer Harbor 
Total Nitrogen </a:t>
            </a:r>
          </a:p>
        </c:rich>
      </c:tx>
      <c:layout>
        <c:manualLayout>
          <c:xMode val="edge"/>
          <c:yMode val="edge"/>
          <c:x val="0.39400665926748085"/>
          <c:y val="1.95758564437194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801331853496137E-2"/>
          <c:y val="0.15660685154975529"/>
          <c:w val="0.88457269700332952"/>
          <c:h val="0.7765089722675369"/>
        </c:manualLayout>
      </c:layout>
      <c:scatterChart>
        <c:scatterStyle val="lineMarker"/>
        <c:ser>
          <c:idx val="0"/>
          <c:order val="0"/>
          <c:tx>
            <c:strRef>
              <c:f>Data!$AQ$3:$AQ$4</c:f>
              <c:strCache>
                <c:ptCount val="1"/>
                <c:pt idx="0">
                  <c:v>TN (mg/L)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Data!$D$5:$D$64</c:f>
              <c:numCache>
                <c:formatCode>m/d/yy;@</c:formatCode>
                <c:ptCount val="60"/>
                <c:pt idx="0">
                  <c:v>37448</c:v>
                </c:pt>
                <c:pt idx="1">
                  <c:v>37462</c:v>
                </c:pt>
                <c:pt idx="2">
                  <c:v>37481</c:v>
                </c:pt>
                <c:pt idx="3">
                  <c:v>37525</c:v>
                </c:pt>
                <c:pt idx="4">
                  <c:v>37790</c:v>
                </c:pt>
                <c:pt idx="5">
                  <c:v>37805</c:v>
                </c:pt>
                <c:pt idx="6">
                  <c:v>37819</c:v>
                </c:pt>
                <c:pt idx="7">
                  <c:v>37838</c:v>
                </c:pt>
                <c:pt idx="8">
                  <c:v>37852</c:v>
                </c:pt>
                <c:pt idx="9">
                  <c:v>37867</c:v>
                </c:pt>
                <c:pt idx="10">
                  <c:v>38161</c:v>
                </c:pt>
                <c:pt idx="11">
                  <c:v>38175</c:v>
                </c:pt>
                <c:pt idx="12">
                  <c:v>38190</c:v>
                </c:pt>
                <c:pt idx="13">
                  <c:v>38204</c:v>
                </c:pt>
                <c:pt idx="14">
                  <c:v>38218</c:v>
                </c:pt>
                <c:pt idx="15">
                  <c:v>38237</c:v>
                </c:pt>
                <c:pt idx="16">
                  <c:v>38517</c:v>
                </c:pt>
                <c:pt idx="17">
                  <c:v>38546</c:v>
                </c:pt>
                <c:pt idx="18">
                  <c:v>38559</c:v>
                </c:pt>
                <c:pt idx="19">
                  <c:v>38574</c:v>
                </c:pt>
                <c:pt idx="20">
                  <c:v>38588</c:v>
                </c:pt>
                <c:pt idx="21">
                  <c:v>38603</c:v>
                </c:pt>
                <c:pt idx="22">
                  <c:v>38888</c:v>
                </c:pt>
                <c:pt idx="23">
                  <c:v>38903</c:v>
                </c:pt>
                <c:pt idx="24">
                  <c:v>38917</c:v>
                </c:pt>
                <c:pt idx="25">
                  <c:v>38931</c:v>
                </c:pt>
                <c:pt idx="26">
                  <c:v>38945</c:v>
                </c:pt>
                <c:pt idx="27">
                  <c:v>38973</c:v>
                </c:pt>
                <c:pt idx="28">
                  <c:v>39254</c:v>
                </c:pt>
                <c:pt idx="29">
                  <c:v>39282</c:v>
                </c:pt>
                <c:pt idx="30">
                  <c:v>39301</c:v>
                </c:pt>
                <c:pt idx="31">
                  <c:v>39315</c:v>
                </c:pt>
                <c:pt idx="32">
                  <c:v>39343</c:v>
                </c:pt>
                <c:pt idx="33">
                  <c:v>39638</c:v>
                </c:pt>
                <c:pt idx="34">
                  <c:v>39667</c:v>
                </c:pt>
                <c:pt idx="35">
                  <c:v>39686</c:v>
                </c:pt>
                <c:pt idx="36">
                  <c:v>39700</c:v>
                </c:pt>
                <c:pt idx="37">
                  <c:v>40008</c:v>
                </c:pt>
                <c:pt idx="38">
                  <c:v>40022</c:v>
                </c:pt>
                <c:pt idx="39">
                  <c:v>40037</c:v>
                </c:pt>
                <c:pt idx="40">
                  <c:v>40051</c:v>
                </c:pt>
                <c:pt idx="41">
                  <c:v>40360</c:v>
                </c:pt>
                <c:pt idx="42">
                  <c:v>40374</c:v>
                </c:pt>
                <c:pt idx="43">
                  <c:v>40393</c:v>
                </c:pt>
                <c:pt idx="44">
                  <c:v>40407</c:v>
                </c:pt>
                <c:pt idx="45">
                  <c:v>40731</c:v>
                </c:pt>
                <c:pt idx="46">
                  <c:v>40745</c:v>
                </c:pt>
                <c:pt idx="47">
                  <c:v>40759</c:v>
                </c:pt>
                <c:pt idx="48">
                  <c:v>40773</c:v>
                </c:pt>
                <c:pt idx="49">
                  <c:v>41101</c:v>
                </c:pt>
                <c:pt idx="50">
                  <c:v>41115</c:v>
                </c:pt>
                <c:pt idx="51">
                  <c:v>41129</c:v>
                </c:pt>
                <c:pt idx="52">
                  <c:v>41143</c:v>
                </c:pt>
                <c:pt idx="53">
                  <c:v>41466</c:v>
                </c:pt>
                <c:pt idx="54">
                  <c:v>41480</c:v>
                </c:pt>
                <c:pt idx="55">
                  <c:v>41499</c:v>
                </c:pt>
                <c:pt idx="56">
                  <c:v>41836</c:v>
                </c:pt>
                <c:pt idx="57">
                  <c:v>41851</c:v>
                </c:pt>
                <c:pt idx="58">
                  <c:v>41865</c:v>
                </c:pt>
                <c:pt idx="59">
                  <c:v>41879</c:v>
                </c:pt>
              </c:numCache>
            </c:numRef>
          </c:xVal>
          <c:yVal>
            <c:numRef>
              <c:f>Data!$AQ$5:$AQ$64</c:f>
              <c:numCache>
                <c:formatCode>0.000</c:formatCode>
                <c:ptCount val="60"/>
                <c:pt idx="0">
                  <c:v>0.41250149320328955</c:v>
                </c:pt>
                <c:pt idx="1">
                  <c:v>0.49511024102309675</c:v>
                </c:pt>
                <c:pt idx="2">
                  <c:v>0.62625207218255297</c:v>
                </c:pt>
                <c:pt idx="3">
                  <c:v>0.3441689866971443</c:v>
                </c:pt>
                <c:pt idx="4">
                  <c:v>0.66544742300574478</c:v>
                </c:pt>
                <c:pt idx="5">
                  <c:v>0.78366333253323928</c:v>
                </c:pt>
                <c:pt idx="6">
                  <c:v>1.2467283384208625</c:v>
                </c:pt>
                <c:pt idx="7">
                  <c:v>1.5042935276392413</c:v>
                </c:pt>
                <c:pt idx="8">
                  <c:v>0.63115024394808805</c:v>
                </c:pt>
                <c:pt idx="9">
                  <c:v>0.6598499329151557</c:v>
                </c:pt>
                <c:pt idx="10">
                  <c:v>0.64482968351728653</c:v>
                </c:pt>
                <c:pt idx="11">
                  <c:v>0.40033152325869825</c:v>
                </c:pt>
                <c:pt idx="12">
                  <c:v>1.6259183306419436</c:v>
                </c:pt>
                <c:pt idx="13">
                  <c:v>0.35165483629682753</c:v>
                </c:pt>
                <c:pt idx="14">
                  <c:v>0.83998002338412348</c:v>
                </c:pt>
                <c:pt idx="15">
                  <c:v>0.424050075471746</c:v>
                </c:pt>
                <c:pt idx="16">
                  <c:v>0.44848994236559964</c:v>
                </c:pt>
                <c:pt idx="17">
                  <c:v>0.39639026706247693</c:v>
                </c:pt>
                <c:pt idx="18">
                  <c:v>0.67202987936787284</c:v>
                </c:pt>
                <c:pt idx="19">
                  <c:v>0.48951914603233682</c:v>
                </c:pt>
                <c:pt idx="20">
                  <c:v>0.33529028761493296</c:v>
                </c:pt>
                <c:pt idx="21">
                  <c:v>0.68867151011513505</c:v>
                </c:pt>
                <c:pt idx="22">
                  <c:v>0.81495352115118547</c:v>
                </c:pt>
                <c:pt idx="23">
                  <c:v>0.51862020832220757</c:v>
                </c:pt>
                <c:pt idx="24">
                  <c:v>0.46464340259349568</c:v>
                </c:pt>
                <c:pt idx="25">
                  <c:v>0.7229551445904645</c:v>
                </c:pt>
                <c:pt idx="26">
                  <c:v>0.61352977959192467</c:v>
                </c:pt>
                <c:pt idx="27">
                  <c:v>0.39215450299487525</c:v>
                </c:pt>
                <c:pt idx="28">
                  <c:v>0.48128983327975949</c:v>
                </c:pt>
                <c:pt idx="29">
                  <c:v>0.65681834447730802</c:v>
                </c:pt>
                <c:pt idx="30">
                  <c:v>0.8056060069076556</c:v>
                </c:pt>
                <c:pt idx="31">
                  <c:v>0.442803448681171</c:v>
                </c:pt>
                <c:pt idx="32">
                  <c:v>0.3821107152685016</c:v>
                </c:pt>
                <c:pt idx="33">
                  <c:v>0.58746930518787044</c:v>
                </c:pt>
                <c:pt idx="34">
                  <c:v>0.53544016567608665</c:v>
                </c:pt>
                <c:pt idx="35">
                  <c:v>0.50873976235441587</c:v>
                </c:pt>
                <c:pt idx="36">
                  <c:v>0.53816427010837042</c:v>
                </c:pt>
                <c:pt idx="37">
                  <c:v>9.3041631158766753E-3</c:v>
                </c:pt>
                <c:pt idx="38">
                  <c:v>2.0805017765997025E-2</c:v>
                </c:pt>
                <c:pt idx="39">
                  <c:v>1.1961385516952703E-2</c:v>
                </c:pt>
                <c:pt idx="40">
                  <c:v>8.4492475903571451E-3</c:v>
                </c:pt>
                <c:pt idx="41">
                  <c:v>0.4376507169813772</c:v>
                </c:pt>
                <c:pt idx="42">
                  <c:v>0.47160364851022935</c:v>
                </c:pt>
                <c:pt idx="43">
                  <c:v>0.74613618794201753</c:v>
                </c:pt>
                <c:pt idx="44">
                  <c:v>0.55424628306503909</c:v>
                </c:pt>
                <c:pt idx="45">
                  <c:v>1.0385051250280641</c:v>
                </c:pt>
                <c:pt idx="46">
                  <c:v>0.70062489505450098</c:v>
                </c:pt>
                <c:pt idx="47">
                  <c:v>1.0075469187471393</c:v>
                </c:pt>
                <c:pt idx="48">
                  <c:v>0.704833199035928</c:v>
                </c:pt>
                <c:pt idx="49">
                  <c:v>0.39541990434144786</c:v>
                </c:pt>
                <c:pt idx="50">
                  <c:v>0.54187812287799852</c:v>
                </c:pt>
                <c:pt idx="51">
                  <c:v>1.0292052659269173</c:v>
                </c:pt>
                <c:pt idx="52">
                  <c:v>0.50892214605535402</c:v>
                </c:pt>
                <c:pt idx="53">
                  <c:v>0.68582267825386856</c:v>
                </c:pt>
                <c:pt idx="54">
                  <c:v>0.5655440271840525</c:v>
                </c:pt>
                <c:pt idx="55">
                  <c:v>0.52682828539417348</c:v>
                </c:pt>
                <c:pt idx="56">
                  <c:v>0.91701018304665161</c:v>
                </c:pt>
                <c:pt idx="57">
                  <c:v>0.66559355360521621</c:v>
                </c:pt>
                <c:pt idx="58">
                  <c:v>0</c:v>
                </c:pt>
                <c:pt idx="59">
                  <c:v>0.66491063482412616</c:v>
                </c:pt>
              </c:numCache>
            </c:numRef>
          </c:yVal>
        </c:ser>
        <c:axId val="53859456"/>
        <c:axId val="53861376"/>
      </c:scatterChart>
      <c:valAx>
        <c:axId val="53859456"/>
        <c:scaling>
          <c:orientation val="minMax"/>
        </c:scaling>
        <c:axPos val="b"/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61376"/>
        <c:crosses val="autoZero"/>
        <c:crossBetween val="midCat"/>
      </c:valAx>
      <c:valAx>
        <c:axId val="53861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TN - mg/L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926590538336053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594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Wychmere Outer Harbor 
Chlorophyll A</a:t>
            </a:r>
          </a:p>
        </c:rich>
      </c:tx>
      <c:layout>
        <c:manualLayout>
          <c:xMode val="edge"/>
          <c:yMode val="edge"/>
          <c:x val="0.39400665926748085"/>
          <c:y val="1.95758564437194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570477247502775E-2"/>
          <c:y val="0.15660685154975529"/>
          <c:w val="0.87680355160932322"/>
          <c:h val="0.7765089722675369"/>
        </c:manualLayout>
      </c:layout>
      <c:scatterChart>
        <c:scatterStyle val="lineMarker"/>
        <c:ser>
          <c:idx val="0"/>
          <c:order val="0"/>
          <c:tx>
            <c:strRef>
              <c:f>Data!$AD$4</c:f>
              <c:strCache>
                <c:ptCount val="1"/>
                <c:pt idx="0">
                  <c:v>Chl 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Data!$D$5:$D$64</c:f>
              <c:numCache>
                <c:formatCode>m/d/yy;@</c:formatCode>
                <c:ptCount val="60"/>
                <c:pt idx="0">
                  <c:v>37448</c:v>
                </c:pt>
                <c:pt idx="1">
                  <c:v>37462</c:v>
                </c:pt>
                <c:pt idx="2">
                  <c:v>37481</c:v>
                </c:pt>
                <c:pt idx="3">
                  <c:v>37525</c:v>
                </c:pt>
                <c:pt idx="4">
                  <c:v>37790</c:v>
                </c:pt>
                <c:pt idx="5">
                  <c:v>37805</c:v>
                </c:pt>
                <c:pt idx="6">
                  <c:v>37819</c:v>
                </c:pt>
                <c:pt idx="7">
                  <c:v>37838</c:v>
                </c:pt>
                <c:pt idx="8">
                  <c:v>37852</c:v>
                </c:pt>
                <c:pt idx="9">
                  <c:v>37867</c:v>
                </c:pt>
                <c:pt idx="10">
                  <c:v>38161</c:v>
                </c:pt>
                <c:pt idx="11">
                  <c:v>38175</c:v>
                </c:pt>
                <c:pt idx="12">
                  <c:v>38190</c:v>
                </c:pt>
                <c:pt idx="13">
                  <c:v>38204</c:v>
                </c:pt>
                <c:pt idx="14">
                  <c:v>38218</c:v>
                </c:pt>
                <c:pt idx="15">
                  <c:v>38237</c:v>
                </c:pt>
                <c:pt idx="16">
                  <c:v>38517</c:v>
                </c:pt>
                <c:pt idx="17">
                  <c:v>38546</c:v>
                </c:pt>
                <c:pt idx="18">
                  <c:v>38559</c:v>
                </c:pt>
                <c:pt idx="19">
                  <c:v>38574</c:v>
                </c:pt>
                <c:pt idx="20">
                  <c:v>38588</c:v>
                </c:pt>
                <c:pt idx="21">
                  <c:v>38603</c:v>
                </c:pt>
                <c:pt idx="22">
                  <c:v>38888</c:v>
                </c:pt>
                <c:pt idx="23">
                  <c:v>38903</c:v>
                </c:pt>
                <c:pt idx="24">
                  <c:v>38917</c:v>
                </c:pt>
                <c:pt idx="25">
                  <c:v>38931</c:v>
                </c:pt>
                <c:pt idx="26">
                  <c:v>38945</c:v>
                </c:pt>
                <c:pt idx="27">
                  <c:v>38973</c:v>
                </c:pt>
                <c:pt idx="28">
                  <c:v>39254</c:v>
                </c:pt>
                <c:pt idx="29">
                  <c:v>39282</c:v>
                </c:pt>
                <c:pt idx="30">
                  <c:v>39301</c:v>
                </c:pt>
                <c:pt idx="31">
                  <c:v>39315</c:v>
                </c:pt>
                <c:pt idx="32">
                  <c:v>39343</c:v>
                </c:pt>
                <c:pt idx="33">
                  <c:v>39638</c:v>
                </c:pt>
                <c:pt idx="34">
                  <c:v>39667</c:v>
                </c:pt>
                <c:pt idx="35">
                  <c:v>39686</c:v>
                </c:pt>
                <c:pt idx="36">
                  <c:v>39700</c:v>
                </c:pt>
                <c:pt idx="37">
                  <c:v>40008</c:v>
                </c:pt>
                <c:pt idx="38">
                  <c:v>40022</c:v>
                </c:pt>
                <c:pt idx="39">
                  <c:v>40037</c:v>
                </c:pt>
                <c:pt idx="40">
                  <c:v>40051</c:v>
                </c:pt>
                <c:pt idx="41">
                  <c:v>40360</c:v>
                </c:pt>
                <c:pt idx="42">
                  <c:v>40374</c:v>
                </c:pt>
                <c:pt idx="43">
                  <c:v>40393</c:v>
                </c:pt>
                <c:pt idx="44">
                  <c:v>40407</c:v>
                </c:pt>
                <c:pt idx="45">
                  <c:v>40731</c:v>
                </c:pt>
                <c:pt idx="46">
                  <c:v>40745</c:v>
                </c:pt>
                <c:pt idx="47">
                  <c:v>40759</c:v>
                </c:pt>
                <c:pt idx="48">
                  <c:v>40773</c:v>
                </c:pt>
                <c:pt idx="49">
                  <c:v>41101</c:v>
                </c:pt>
                <c:pt idx="50">
                  <c:v>41115</c:v>
                </c:pt>
                <c:pt idx="51">
                  <c:v>41129</c:v>
                </c:pt>
                <c:pt idx="52">
                  <c:v>41143</c:v>
                </c:pt>
                <c:pt idx="53">
                  <c:v>41466</c:v>
                </c:pt>
                <c:pt idx="54">
                  <c:v>41480</c:v>
                </c:pt>
                <c:pt idx="55">
                  <c:v>41499</c:v>
                </c:pt>
                <c:pt idx="56">
                  <c:v>41836</c:v>
                </c:pt>
                <c:pt idx="57">
                  <c:v>41851</c:v>
                </c:pt>
                <c:pt idx="58">
                  <c:v>41865</c:v>
                </c:pt>
                <c:pt idx="59">
                  <c:v>41879</c:v>
                </c:pt>
              </c:numCache>
            </c:numRef>
          </c:xVal>
          <c:yVal>
            <c:numRef>
              <c:f>Data!$AD$5:$AD$64</c:f>
              <c:numCache>
                <c:formatCode>0.00</c:formatCode>
                <c:ptCount val="60"/>
                <c:pt idx="0">
                  <c:v>4.53</c:v>
                </c:pt>
                <c:pt idx="1">
                  <c:v>7.38</c:v>
                </c:pt>
                <c:pt idx="2">
                  <c:v>9.34</c:v>
                </c:pt>
                <c:pt idx="3">
                  <c:v>3.84</c:v>
                </c:pt>
                <c:pt idx="4">
                  <c:v>9.8774249999999988</c:v>
                </c:pt>
                <c:pt idx="5">
                  <c:v>6.7524850000000001</c:v>
                </c:pt>
                <c:pt idx="6">
                  <c:v>8.3287250000000022</c:v>
                </c:pt>
                <c:pt idx="7">
                  <c:v>10.64523</c:v>
                </c:pt>
                <c:pt idx="8">
                  <c:v>8.9823749999999976</c:v>
                </c:pt>
                <c:pt idx="9">
                  <c:v>3.5240149999999995</c:v>
                </c:pt>
                <c:pt idx="10">
                  <c:v>5.7165900000000001</c:v>
                </c:pt>
                <c:pt idx="11">
                  <c:v>7.2515199999999993</c:v>
                </c:pt>
                <c:pt idx="12">
                  <c:v>14.040129999999998</c:v>
                </c:pt>
                <c:pt idx="13">
                  <c:v>6.9099050000000011</c:v>
                </c:pt>
                <c:pt idx="14">
                  <c:v>9.8256600000000027</c:v>
                </c:pt>
                <c:pt idx="15">
                  <c:v>3.8230280000000008</c:v>
                </c:pt>
                <c:pt idx="16">
                  <c:v>8.4245542065972234</c:v>
                </c:pt>
                <c:pt idx="17">
                  <c:v>9.4191265598958331</c:v>
                </c:pt>
                <c:pt idx="18">
                  <c:v>14.197725912158507</c:v>
                </c:pt>
                <c:pt idx="19">
                  <c:v>14.240346127093833</c:v>
                </c:pt>
                <c:pt idx="20">
                  <c:v>9.7339687345987933</c:v>
                </c:pt>
                <c:pt idx="21">
                  <c:v>11.497767443303571</c:v>
                </c:pt>
                <c:pt idx="22">
                  <c:v>10.267909256249997</c:v>
                </c:pt>
                <c:pt idx="23">
                  <c:v>10.400586632812502</c:v>
                </c:pt>
                <c:pt idx="24">
                  <c:v>9.9255220312500043</c:v>
                </c:pt>
                <c:pt idx="25">
                  <c:v>8.4648448328124992</c:v>
                </c:pt>
                <c:pt idx="26">
                  <c:v>5.3708670312500004</c:v>
                </c:pt>
                <c:pt idx="27">
                  <c:v>7.2524958260416668</c:v>
                </c:pt>
                <c:pt idx="28">
                  <c:v>8.2033790666666651</c:v>
                </c:pt>
                <c:pt idx="29">
                  <c:v>12.557231866666669</c:v>
                </c:pt>
                <c:pt idx="30">
                  <c:v>11.614771042187501</c:v>
                </c:pt>
                <c:pt idx="31">
                  <c:v>4.0876778421874995</c:v>
                </c:pt>
                <c:pt idx="32">
                  <c:v>4.0951600421874996</c:v>
                </c:pt>
                <c:pt idx="33">
                  <c:v>9.9472500208333337</c:v>
                </c:pt>
                <c:pt idx="34">
                  <c:v>8.6259540624999982</c:v>
                </c:pt>
                <c:pt idx="35">
                  <c:v>6.2881805000000002</c:v>
                </c:pt>
                <c:pt idx="36">
                  <c:v>15.406574867468752</c:v>
                </c:pt>
                <c:pt idx="37">
                  <c:v>13.388867171874997</c:v>
                </c:pt>
                <c:pt idx="38">
                  <c:v>4.191082692708334</c:v>
                </c:pt>
                <c:pt idx="39">
                  <c:v>4.0145886927083341</c:v>
                </c:pt>
                <c:pt idx="40">
                  <c:v>3.7468046927083334</c:v>
                </c:pt>
                <c:pt idx="41">
                  <c:v>10.135561750000003</c:v>
                </c:pt>
                <c:pt idx="42">
                  <c:v>8.9866055000000014</c:v>
                </c:pt>
                <c:pt idx="43">
                  <c:v>8.6047984999999994</c:v>
                </c:pt>
                <c:pt idx="44">
                  <c:v>8.86287175</c:v>
                </c:pt>
                <c:pt idx="45">
                  <c:v>4.8656675000000007</c:v>
                </c:pt>
                <c:pt idx="46">
                  <c:v>6.5063597925658243</c:v>
                </c:pt>
                <c:pt idx="47">
                  <c:v>4.3425258126582289</c:v>
                </c:pt>
                <c:pt idx="48">
                  <c:v>12.402671333333338</c:v>
                </c:pt>
                <c:pt idx="49">
                  <c:v>6.9713649520833343</c:v>
                </c:pt>
                <c:pt idx="50">
                  <c:v>10.961364452083332</c:v>
                </c:pt>
                <c:pt idx="51">
                  <c:v>8.5637042020833327</c:v>
                </c:pt>
                <c:pt idx="52">
                  <c:v>11.953373502083334</c:v>
                </c:pt>
                <c:pt idx="53">
                  <c:v>17.586750000000002</c:v>
                </c:pt>
                <c:pt idx="54">
                  <c:v>6.1576000000000013</c:v>
                </c:pt>
                <c:pt idx="55">
                  <c:v>7.1013513958333334</c:v>
                </c:pt>
                <c:pt idx="56">
                  <c:v>6.6733213750000004</c:v>
                </c:pt>
                <c:pt idx="57">
                  <c:v>11.281855374999999</c:v>
                </c:pt>
                <c:pt idx="58">
                  <c:v>4.8688000000000011</c:v>
                </c:pt>
                <c:pt idx="59">
                  <c:v>7.5529273749999994</c:v>
                </c:pt>
              </c:numCache>
            </c:numRef>
          </c:yVal>
        </c:ser>
        <c:axId val="54602752"/>
        <c:axId val="54617216"/>
      </c:scatterChart>
      <c:valAx>
        <c:axId val="54602752"/>
        <c:scaling>
          <c:orientation val="minMax"/>
        </c:scaling>
        <c:axPos val="b"/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7216"/>
        <c:crosses val="autoZero"/>
        <c:crossBetween val="midCat"/>
      </c:valAx>
      <c:valAx>
        <c:axId val="54617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Chl A-  ug/L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12398042414355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27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0.0775</cdr:x>
      <cdr:y>0.6425</cdr:y>
    </cdr:from>
    <cdr:to>
      <cdr:x>0.96225</cdr:x>
      <cdr:y>0.6425</cdr:y>
    </cdr:to>
    <cdr:sp macro="" textlink="">
      <cdr:nvSpPr>
        <cdr:cNvPr id="10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65107" y="3751445"/>
          <a:ext cx="75929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0.0775</cdr:x>
      <cdr:y>0.3505</cdr:y>
    </cdr:from>
    <cdr:to>
      <cdr:x>0.96225</cdr:x>
      <cdr:y>0.3505</cdr:y>
    </cdr:to>
    <cdr:sp macro="" textlink="">
      <cdr:nvSpPr>
        <cdr:cNvPr id="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65107" y="2046508"/>
          <a:ext cx="75929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0.13625</cdr:x>
      <cdr:y>0.732</cdr:y>
    </cdr:from>
    <cdr:to>
      <cdr:x>0.41575</cdr:x>
      <cdr:y>0.864</cdr:y>
    </cdr:to>
    <cdr:sp macro="" textlink="">
      <cdr:nvSpPr>
        <cdr:cNvPr id="102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9301" y="4274020"/>
          <a:ext cx="2398676" cy="770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Levels at 3 mg/L and below indicate not enough oxygen - plants/animals exist in extremely stressful conditions; result in die-off and relocation of some species</a:t>
          </a:r>
        </a:p>
      </cdr:txBody>
    </cdr:sp>
  </cdr:relSizeAnchor>
  <cdr:relSizeAnchor xmlns:cdr="http://schemas.openxmlformats.org/drawingml/2006/chartDrawing">
    <cdr:from>
      <cdr:x>0.24425</cdr:x>
      <cdr:y>0.64325</cdr:y>
    </cdr:from>
    <cdr:to>
      <cdr:x>0.32375</cdr:x>
      <cdr:y>0.732</cdr:y>
    </cdr:to>
    <cdr:sp macro="" textlink="">
      <cdr:nvSpPr>
        <cdr:cNvPr id="102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096160" y="3755824"/>
          <a:ext cx="682271" cy="5181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0.34775</cdr:x>
      <cdr:y>0.47575</cdr:y>
    </cdr:from>
    <cdr:to>
      <cdr:x>0.636</cdr:x>
      <cdr:y>0.56875</cdr:y>
    </cdr:to>
    <cdr:sp macro="" textlink="">
      <cdr:nvSpPr>
        <cdr:cNvPr id="1029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84399" y="2777821"/>
          <a:ext cx="2473769" cy="5430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Aquatic organisms are under stress when DO is between 6 - 3 mg/L. The lower the concentration the greater the stress.</a:t>
          </a:r>
        </a:p>
      </cdr:txBody>
    </cdr:sp>
  </cdr:relSizeAnchor>
  <cdr:relSizeAnchor xmlns:cdr="http://schemas.openxmlformats.org/drawingml/2006/chartDrawing">
    <cdr:from>
      <cdr:x>0.73775</cdr:x>
      <cdr:y>0.255</cdr:y>
    </cdr:from>
    <cdr:to>
      <cdr:x>0.9225</cdr:x>
      <cdr:y>0.30025</cdr:y>
    </cdr:to>
    <cdr:sp macro="" textlink="">
      <cdr:nvSpPr>
        <cdr:cNvPr id="1030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1389" y="1488900"/>
          <a:ext cx="1585529" cy="2642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Class SA Waters Criteria</a:t>
          </a:r>
        </a:p>
      </cdr:txBody>
    </cdr:sp>
  </cdr:relSizeAnchor>
  <cdr:relSizeAnchor xmlns:cdr="http://schemas.openxmlformats.org/drawingml/2006/chartDrawing">
    <cdr:from>
      <cdr:x>0.7705</cdr:x>
      <cdr:y>0.30025</cdr:y>
    </cdr:from>
    <cdr:to>
      <cdr:x>0.811</cdr:x>
      <cdr:y>0.3505</cdr:y>
    </cdr:to>
    <cdr:sp macro="" textlink="">
      <cdr:nvSpPr>
        <cdr:cNvPr id="103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2450" y="1753107"/>
          <a:ext cx="347572" cy="2934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0.07775</cdr:x>
      <cdr:y>0.718</cdr:y>
    </cdr:from>
    <cdr:to>
      <cdr:x>0.9635</cdr:x>
      <cdr:y>0.7195</cdr:y>
    </cdr:to>
    <cdr:sp macro="" textlink="">
      <cdr:nvSpPr>
        <cdr:cNvPr id="1024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67252" y="4192276"/>
          <a:ext cx="7601529" cy="87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0000"/>
          </a:solidFill>
          <a:prstDash val="lgDash"/>
          <a:round/>
          <a:headEnd/>
          <a:tailEnd/>
        </a:ln>
      </cdr:spPr>
    </cdr:sp>
  </cdr:relSizeAnchor>
  <cdr:relSizeAnchor xmlns:cdr="http://schemas.openxmlformats.org/drawingml/2006/chartDrawing">
    <cdr:from>
      <cdr:x>0.344</cdr:x>
      <cdr:y>0.7195</cdr:y>
    </cdr:from>
    <cdr:to>
      <cdr:x>0.41575</cdr:x>
      <cdr:y>0.7995</cdr:y>
    </cdr:to>
    <cdr:sp macro="" textlink="">
      <cdr:nvSpPr>
        <cdr:cNvPr id="1024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952217" y="4201035"/>
          <a:ext cx="615760" cy="4671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0.09725</cdr:x>
      <cdr:y>0.7995</cdr:y>
    </cdr:from>
    <cdr:to>
      <cdr:x>0.3565</cdr:x>
      <cdr:y>0.93225</cdr:y>
    </cdr:to>
    <cdr:sp macro="" textlink="">
      <cdr:nvSpPr>
        <cdr:cNvPr id="1024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4602" y="4668141"/>
          <a:ext cx="2224890" cy="7751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MEP Total Nitrogen Threshold for benthic organisms; TN above this threshold exceeds the level for healthy benthic organisms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0.08548</cdr:x>
      <cdr:y>0.7372</cdr:y>
    </cdr:from>
    <cdr:to>
      <cdr:x>0.96323</cdr:x>
      <cdr:y>0.7372</cdr:y>
    </cdr:to>
    <cdr:sp macro="" textlink="">
      <cdr:nvSpPr>
        <cdr:cNvPr id="1126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33607" y="4304398"/>
          <a:ext cx="753287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0000"/>
          </a:solidFill>
          <a:prstDash val="lgDash"/>
          <a:round/>
          <a:headEnd/>
          <a:tailEnd/>
        </a:ln>
      </cdr:spPr>
    </cdr:sp>
  </cdr:relSizeAnchor>
  <cdr:relSizeAnchor xmlns:cdr="http://schemas.openxmlformats.org/drawingml/2006/chartDrawing">
    <cdr:from>
      <cdr:x>0.374</cdr:x>
      <cdr:y>0.78</cdr:y>
    </cdr:from>
    <cdr:to>
      <cdr:x>0.60825</cdr:x>
      <cdr:y>0.91675</cdr:y>
    </cdr:to>
    <cdr:sp macro="" textlink="">
      <cdr:nvSpPr>
        <cdr:cNvPr id="1126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9677" y="4554284"/>
          <a:ext cx="2010340" cy="79845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Chl A is a measure of phytoplankton (algae); levels above 5 ug/L indicate negative impact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Harbor%202001-2004%2012.18.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ns Creek %DO-DO"/>
      <sheetName val="Allens Creek Temp.sec"/>
      <sheetName val="Allens Creek"/>
      <sheetName val="Allens Harbor %DO-DO"/>
      <sheetName val="Allen Harbor temp.sec"/>
      <sheetName val="Allens Harbor"/>
      <sheetName val="Hulse %DO-DO"/>
      <sheetName val="Hulse Temp.sec"/>
      <sheetName val="Hulse"/>
      <sheetName val="Herr 28 bridge DO %DO apr"/>
      <sheetName val="Herr 28 tem.sec apr"/>
      <sheetName val="Herring 28 Bridge.Boat"/>
      <sheetName val="Herr Loth DO %DO apr"/>
      <sheetName val="Herr Loth temp.sec arp"/>
      <sheetName val="Herring Lothrop Rd"/>
      <sheetName val="Herring North - %DO-DO"/>
      <sheetName val="Herr North temp.sec apr"/>
      <sheetName val="HR North Data"/>
      <sheetName val="Herr Res DO %DO apr"/>
      <sheetName val="Herr Res temp.sec apr"/>
      <sheetName val="HR - W. Res"/>
      <sheetName val="Her Low DO %DO"/>
      <sheetName val="Herr Low temp.sec apr"/>
      <sheetName val="Herring River-LC Bridge.Wixon"/>
      <sheetName val="Saq DO-% O"/>
      <sheetName val="Saq temp.secchi"/>
      <sheetName val="Saquatucket"/>
      <sheetName val="Wychmere Harbor %DO-DO"/>
      <sheetName val="Wych HarbTemp.sec"/>
      <sheetName val="Wychmere Harbor"/>
      <sheetName val="Wych Out DO %DO apr"/>
      <sheetName val="Wych Out tem.sec apr"/>
      <sheetName val="Wychmere Outer"/>
      <sheetName val="2001"/>
      <sheetName val="2002"/>
      <sheetName val="2003"/>
      <sheetName val="2004"/>
      <sheetName val="Fina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67"/>
  <sheetViews>
    <sheetView topLeftCell="G3" workbookViewId="0">
      <selection activeCell="H7" sqref="H7"/>
    </sheetView>
  </sheetViews>
  <sheetFormatPr defaultRowHeight="12.75"/>
  <cols>
    <col min="3" max="3" width="21.42578125" customWidth="1"/>
    <col min="4" max="4" width="9.140625" style="50"/>
    <col min="7" max="7" width="14.28515625" customWidth="1"/>
    <col min="8" max="8" width="17.85546875" customWidth="1"/>
    <col min="30" max="30" width="9.140625" style="12"/>
    <col min="33" max="33" width="10" customWidth="1"/>
    <col min="34" max="34" width="11" customWidth="1"/>
    <col min="35" max="35" width="10" customWidth="1"/>
    <col min="36" max="36" width="10.5703125" customWidth="1"/>
    <col min="42" max="43" width="9.140625" style="55"/>
  </cols>
  <sheetData>
    <row r="1" spans="1:43">
      <c r="A1" s="1"/>
      <c r="B1" s="1"/>
      <c r="C1" s="2"/>
      <c r="D1" s="3"/>
      <c r="E1" s="4"/>
      <c r="F1" s="5" t="s">
        <v>0</v>
      </c>
      <c r="G1" s="6"/>
      <c r="H1" s="6"/>
      <c r="I1" s="7"/>
      <c r="J1" s="8"/>
      <c r="K1" s="9"/>
      <c r="L1" s="8"/>
      <c r="M1" s="10"/>
      <c r="N1" s="11"/>
      <c r="O1" s="12"/>
      <c r="P1" s="13"/>
      <c r="Q1" s="12"/>
      <c r="R1" s="12"/>
      <c r="S1" s="9"/>
      <c r="T1" s="14"/>
      <c r="U1" s="9"/>
      <c r="V1" s="12"/>
      <c r="W1" s="15"/>
      <c r="X1" s="12"/>
      <c r="Y1" s="12"/>
      <c r="Z1" s="7"/>
      <c r="AA1" s="12"/>
      <c r="AB1" s="12"/>
      <c r="AC1" s="12"/>
      <c r="AE1" s="7"/>
      <c r="AF1" s="12"/>
      <c r="AG1" s="16"/>
      <c r="AH1" s="16"/>
      <c r="AI1" s="12"/>
      <c r="AJ1" s="17"/>
      <c r="AK1" s="7"/>
      <c r="AL1" s="17"/>
      <c r="AM1" s="17"/>
      <c r="AN1" s="16"/>
    </row>
    <row r="2" spans="1:43">
      <c r="A2" s="2"/>
      <c r="B2" s="2"/>
      <c r="C2" s="2"/>
      <c r="D2" s="3"/>
      <c r="E2" s="1"/>
      <c r="F2" s="12"/>
      <c r="G2" s="12"/>
      <c r="H2" s="12"/>
      <c r="I2" s="7"/>
      <c r="J2" s="9"/>
      <c r="K2" s="9"/>
      <c r="L2" s="12"/>
      <c r="M2" s="9"/>
      <c r="N2" s="11"/>
      <c r="O2" s="12"/>
      <c r="P2" s="13"/>
      <c r="Q2" s="1"/>
      <c r="R2" s="1"/>
      <c r="S2" s="18"/>
      <c r="T2" s="12"/>
      <c r="U2" s="12"/>
      <c r="V2" s="12"/>
      <c r="W2" s="12"/>
      <c r="X2" s="12"/>
      <c r="Y2" s="12"/>
      <c r="Z2" s="7"/>
      <c r="AA2" s="12"/>
      <c r="AB2" s="19"/>
      <c r="AC2" s="19"/>
      <c r="AE2" s="7"/>
      <c r="AF2" s="19"/>
      <c r="AG2" s="12"/>
      <c r="AH2" s="12"/>
      <c r="AI2" s="12"/>
      <c r="AJ2" s="17"/>
      <c r="AK2" s="7"/>
      <c r="AL2" s="17"/>
      <c r="AM2" s="17"/>
      <c r="AN2" s="12"/>
      <c r="AO2" s="1"/>
    </row>
    <row r="3" spans="1:43">
      <c r="A3" s="1"/>
      <c r="B3" s="20"/>
      <c r="C3" s="20"/>
      <c r="D3" s="48"/>
      <c r="E3" s="20"/>
      <c r="F3" s="21" t="s">
        <v>1</v>
      </c>
      <c r="G3" s="21" t="s">
        <v>2</v>
      </c>
      <c r="H3" s="21"/>
      <c r="I3" s="21"/>
      <c r="J3" s="22" t="s">
        <v>3</v>
      </c>
      <c r="K3" s="22"/>
      <c r="L3" s="21"/>
      <c r="M3" s="22"/>
      <c r="N3" s="22"/>
      <c r="O3" s="22"/>
      <c r="P3" s="23"/>
      <c r="Q3" s="20" t="s">
        <v>4</v>
      </c>
      <c r="R3" s="20" t="s">
        <v>5</v>
      </c>
      <c r="S3" s="24" t="s">
        <v>6</v>
      </c>
      <c r="T3" s="5"/>
      <c r="U3" s="5"/>
      <c r="V3" s="5"/>
      <c r="W3" s="5"/>
      <c r="X3" s="12"/>
      <c r="Y3" s="5"/>
      <c r="Z3" s="5"/>
      <c r="AA3" s="5"/>
      <c r="AB3" s="5" t="s">
        <v>7</v>
      </c>
      <c r="AC3" s="5" t="s">
        <v>8</v>
      </c>
      <c r="AD3" s="5"/>
      <c r="AE3" s="5"/>
      <c r="AF3" s="5"/>
      <c r="AG3" s="5"/>
      <c r="AH3" s="5"/>
      <c r="AI3" s="5"/>
      <c r="AJ3" s="25"/>
      <c r="AK3" s="5"/>
      <c r="AL3" s="17"/>
      <c r="AM3" s="26"/>
      <c r="AN3" s="5"/>
      <c r="AO3" s="1"/>
      <c r="AP3" s="56" t="s">
        <v>9</v>
      </c>
      <c r="AQ3" s="56" t="s">
        <v>9</v>
      </c>
    </row>
    <row r="4" spans="1:43" ht="15">
      <c r="A4" s="27" t="s">
        <v>10</v>
      </c>
      <c r="B4" s="27" t="s">
        <v>11</v>
      </c>
      <c r="C4" s="27" t="s">
        <v>12</v>
      </c>
      <c r="D4" s="49"/>
      <c r="E4" s="27" t="s">
        <v>13</v>
      </c>
      <c r="F4" s="28" t="s">
        <v>14</v>
      </c>
      <c r="G4" s="28" t="s">
        <v>59</v>
      </c>
      <c r="H4" s="28" t="s">
        <v>60</v>
      </c>
      <c r="I4" s="28" t="s">
        <v>15</v>
      </c>
      <c r="J4" s="29" t="s">
        <v>14</v>
      </c>
      <c r="K4" s="29" t="s">
        <v>16</v>
      </c>
      <c r="L4" s="28" t="s">
        <v>17</v>
      </c>
      <c r="M4" s="29" t="s">
        <v>18</v>
      </c>
      <c r="N4" s="29" t="s">
        <v>15</v>
      </c>
      <c r="O4" s="27" t="s">
        <v>19</v>
      </c>
      <c r="P4" s="30" t="s">
        <v>20</v>
      </c>
      <c r="Q4" s="31" t="s">
        <v>21</v>
      </c>
      <c r="R4" s="31" t="s">
        <v>22</v>
      </c>
      <c r="S4" s="29" t="s">
        <v>23</v>
      </c>
      <c r="T4" s="28" t="s">
        <v>24</v>
      </c>
      <c r="U4" s="28" t="s">
        <v>25</v>
      </c>
      <c r="V4" s="28" t="s">
        <v>26</v>
      </c>
      <c r="W4" s="28" t="s">
        <v>27</v>
      </c>
      <c r="X4" s="28" t="s">
        <v>28</v>
      </c>
      <c r="Y4" s="28" t="s">
        <v>29</v>
      </c>
      <c r="Z4" s="28" t="s">
        <v>15</v>
      </c>
      <c r="AA4" s="28" t="s">
        <v>30</v>
      </c>
      <c r="AB4" s="28" t="s">
        <v>31</v>
      </c>
      <c r="AC4" s="28" t="s">
        <v>31</v>
      </c>
      <c r="AD4" s="28" t="s">
        <v>32</v>
      </c>
      <c r="AE4" s="28" t="s">
        <v>15</v>
      </c>
      <c r="AF4" s="28" t="s">
        <v>33</v>
      </c>
      <c r="AG4" s="28" t="s">
        <v>34</v>
      </c>
      <c r="AH4" s="28" t="s">
        <v>35</v>
      </c>
      <c r="AI4" s="28" t="s">
        <v>36</v>
      </c>
      <c r="AJ4" s="32" t="s">
        <v>37</v>
      </c>
      <c r="AK4" s="28" t="s">
        <v>15</v>
      </c>
      <c r="AL4" s="32" t="s">
        <v>9</v>
      </c>
      <c r="AM4" s="32" t="s">
        <v>15</v>
      </c>
      <c r="AN4" s="28" t="s">
        <v>38</v>
      </c>
      <c r="AO4" s="1"/>
      <c r="AP4" s="57" t="s">
        <v>39</v>
      </c>
      <c r="AQ4" s="57" t="s">
        <v>62</v>
      </c>
    </row>
    <row r="5" spans="1:43">
      <c r="A5" s="1" t="s">
        <v>40</v>
      </c>
      <c r="B5" s="1" t="s">
        <v>41</v>
      </c>
      <c r="C5" s="1" t="s">
        <v>0</v>
      </c>
      <c r="D5" s="3">
        <v>37448</v>
      </c>
      <c r="E5" s="34">
        <v>0.35416666666666669</v>
      </c>
      <c r="F5" s="12">
        <v>1.55</v>
      </c>
      <c r="G5" s="12">
        <v>1.55</v>
      </c>
      <c r="H5" s="12">
        <f>F5-G5</f>
        <v>0</v>
      </c>
      <c r="I5" s="12"/>
      <c r="J5" s="9">
        <v>0.75</v>
      </c>
      <c r="K5" s="9">
        <v>22.6</v>
      </c>
      <c r="L5" s="12">
        <v>6.4</v>
      </c>
      <c r="M5" s="9">
        <v>88.6</v>
      </c>
      <c r="N5" s="9"/>
      <c r="O5" s="1" t="s">
        <v>42</v>
      </c>
      <c r="P5" s="13"/>
      <c r="Q5" s="1" t="s">
        <v>43</v>
      </c>
      <c r="R5" s="1" t="s">
        <v>42</v>
      </c>
      <c r="S5" s="35">
        <v>31.4</v>
      </c>
      <c r="T5" s="19">
        <v>0.51094799999999996</v>
      </c>
      <c r="U5" s="19">
        <v>0.40754350000000006</v>
      </c>
      <c r="V5" s="19">
        <v>5.7056090000000012E-3</v>
      </c>
      <c r="W5" s="19">
        <v>5.4894258410259633E-2</v>
      </c>
      <c r="X5" s="19">
        <v>7.6851961774363484E-4</v>
      </c>
      <c r="Y5" s="19">
        <v>0.46243775841025969</v>
      </c>
      <c r="Z5" s="12"/>
      <c r="AA5" s="19">
        <v>16.439117647692939</v>
      </c>
      <c r="AB5" s="19">
        <v>3.8172285714285716</v>
      </c>
      <c r="AC5" s="19">
        <v>0.71293142857142888</v>
      </c>
      <c r="AD5" s="19">
        <v>4.53</v>
      </c>
      <c r="AE5" s="12"/>
      <c r="AF5" s="19">
        <v>0.84262555217223478</v>
      </c>
      <c r="AG5" s="12">
        <v>80.232192442184058</v>
      </c>
      <c r="AH5" s="12">
        <v>12.56283696556034</v>
      </c>
      <c r="AI5" s="12">
        <v>29.001954613253279</v>
      </c>
      <c r="AJ5" s="26">
        <v>0.40602736458554589</v>
      </c>
      <c r="AK5" s="12"/>
      <c r="AL5" s="17">
        <f t="shared" ref="AL5:AL45" si="0">SUM(Y5+AA5+AH5)*0.014</f>
        <v>0.41250149320328955</v>
      </c>
      <c r="AM5" s="26"/>
      <c r="AN5" s="12">
        <v>6.3836755592153516</v>
      </c>
      <c r="AO5" s="1"/>
      <c r="AP5" s="55">
        <v>29.464392371663539</v>
      </c>
      <c r="AQ5" s="55">
        <v>0.41250149320328955</v>
      </c>
    </row>
    <row r="6" spans="1:43">
      <c r="A6" s="1" t="s">
        <v>40</v>
      </c>
      <c r="B6" s="1" t="s">
        <v>41</v>
      </c>
      <c r="C6" s="1" t="s">
        <v>0</v>
      </c>
      <c r="D6" s="3">
        <v>37462</v>
      </c>
      <c r="E6" s="34">
        <v>0.35416666666666669</v>
      </c>
      <c r="F6" s="12">
        <v>1.45</v>
      </c>
      <c r="G6" s="12">
        <v>1.4</v>
      </c>
      <c r="H6" s="12">
        <f t="shared" ref="H6:H53" si="1">F6-G6</f>
        <v>5.0000000000000044E-2</v>
      </c>
      <c r="I6" s="12"/>
      <c r="J6" s="9">
        <v>0.7</v>
      </c>
      <c r="K6" s="9">
        <v>22.1</v>
      </c>
      <c r="L6" s="12">
        <v>6.3</v>
      </c>
      <c r="M6" s="9">
        <v>83.3</v>
      </c>
      <c r="N6" s="9"/>
      <c r="O6" s="1" t="s">
        <v>42</v>
      </c>
      <c r="P6" s="13"/>
      <c r="Q6" s="1" t="s">
        <v>44</v>
      </c>
      <c r="R6" s="1" t="s">
        <v>42</v>
      </c>
      <c r="S6" s="35">
        <v>29.1</v>
      </c>
      <c r="T6" s="36">
        <v>0.50501899999999988</v>
      </c>
      <c r="U6" s="36">
        <v>0.51104700000000003</v>
      </c>
      <c r="V6" s="19">
        <v>7.1546580000000004E-3</v>
      </c>
      <c r="W6" s="19">
        <v>1.1491827360497993</v>
      </c>
      <c r="X6" s="19">
        <v>1.608855830469719E-2</v>
      </c>
      <c r="Y6" s="19">
        <v>1.6602297360497993</v>
      </c>
      <c r="Z6" s="12"/>
      <c r="AA6" s="19">
        <v>23.78415627752365</v>
      </c>
      <c r="AB6" s="19">
        <v>6.5483999999999982</v>
      </c>
      <c r="AC6" s="19">
        <v>0.83580500000000169</v>
      </c>
      <c r="AD6" s="19">
        <v>7.38</v>
      </c>
      <c r="AE6" s="12"/>
      <c r="AF6" s="19">
        <v>0.88681178271729977</v>
      </c>
      <c r="AG6" s="12">
        <v>66.636662624704897</v>
      </c>
      <c r="AH6" s="12">
        <v>9.9206312023620349</v>
      </c>
      <c r="AI6" s="12">
        <v>33.704787479885681</v>
      </c>
      <c r="AJ6" s="26">
        <v>0.47186702471839953</v>
      </c>
      <c r="AK6" s="12"/>
      <c r="AL6" s="17">
        <f t="shared" si="0"/>
        <v>0.49511024102309675</v>
      </c>
      <c r="AM6" s="26"/>
      <c r="AN6" s="12">
        <v>6.7140381289647442</v>
      </c>
      <c r="AO6" s="1"/>
      <c r="AP6" s="55">
        <v>35.365017215935481</v>
      </c>
      <c r="AQ6" s="55">
        <v>0.49511024102309675</v>
      </c>
    </row>
    <row r="7" spans="1:43">
      <c r="A7" s="1" t="s">
        <v>40</v>
      </c>
      <c r="B7" s="1" t="s">
        <v>41</v>
      </c>
      <c r="C7" s="1" t="s">
        <v>0</v>
      </c>
      <c r="D7" s="3">
        <v>37481</v>
      </c>
      <c r="E7" s="34">
        <v>0.35416666666666669</v>
      </c>
      <c r="F7" s="12">
        <v>1.55</v>
      </c>
      <c r="G7" s="12">
        <v>1.45</v>
      </c>
      <c r="H7" s="12">
        <f t="shared" si="1"/>
        <v>0.10000000000000009</v>
      </c>
      <c r="I7" s="12"/>
      <c r="J7" s="9">
        <v>0.75</v>
      </c>
      <c r="K7" s="9">
        <v>24.7</v>
      </c>
      <c r="L7" s="12">
        <v>5.68</v>
      </c>
      <c r="M7" s="9">
        <v>81.5</v>
      </c>
      <c r="N7" s="9"/>
      <c r="O7" s="1" t="s">
        <v>45</v>
      </c>
      <c r="P7" s="13"/>
      <c r="Q7" s="1" t="s">
        <v>46</v>
      </c>
      <c r="R7" s="1" t="s">
        <v>42</v>
      </c>
      <c r="S7" s="35">
        <v>31.7</v>
      </c>
      <c r="T7" s="19">
        <v>0.46947999999999995</v>
      </c>
      <c r="U7" s="12">
        <v>1.6734450000000003</v>
      </c>
      <c r="V7" s="19">
        <v>2.3428230000000005E-2</v>
      </c>
      <c r="W7" s="19">
        <v>0.05</v>
      </c>
      <c r="X7" s="19">
        <f>W7*0.014</f>
        <v>7.000000000000001E-4</v>
      </c>
      <c r="Y7" s="19">
        <v>1.6796728887238885</v>
      </c>
      <c r="Z7" s="12"/>
      <c r="AA7" s="19">
        <v>24.763170811876851</v>
      </c>
      <c r="AB7" s="19">
        <v>7.4223214285714274</v>
      </c>
      <c r="AC7" s="19">
        <v>1.9199435714285735</v>
      </c>
      <c r="AD7" s="19">
        <v>9.34</v>
      </c>
      <c r="AE7" s="12"/>
      <c r="AF7" s="19">
        <v>0.79448842743932291</v>
      </c>
      <c r="AG7" s="12">
        <v>104.689055810841</v>
      </c>
      <c r="AH7" s="12">
        <v>18.289447169581617</v>
      </c>
      <c r="AI7" s="12">
        <v>43.052617981458468</v>
      </c>
      <c r="AJ7" s="26">
        <v>0.60273665174041857</v>
      </c>
      <c r="AK7" s="12"/>
      <c r="AL7" s="17">
        <f t="shared" si="0"/>
        <v>0.62625207218255297</v>
      </c>
      <c r="AM7" s="26"/>
      <c r="AN7" s="12">
        <v>5.7215088606582416</v>
      </c>
      <c r="AO7" s="1"/>
      <c r="AP7" s="55">
        <v>44.732290870182354</v>
      </c>
      <c r="AQ7" s="55">
        <v>0.62625207218255297</v>
      </c>
    </row>
    <row r="8" spans="1:43">
      <c r="A8" s="1" t="s">
        <v>40</v>
      </c>
      <c r="B8" s="1" t="s">
        <v>41</v>
      </c>
      <c r="C8" s="1" t="s">
        <v>0</v>
      </c>
      <c r="D8" s="3">
        <v>37525</v>
      </c>
      <c r="E8" s="34">
        <v>0.35416666666666669</v>
      </c>
      <c r="F8" s="12">
        <v>3</v>
      </c>
      <c r="G8" s="12">
        <v>2.65</v>
      </c>
      <c r="H8" s="12">
        <f t="shared" si="1"/>
        <v>0.35000000000000009</v>
      </c>
      <c r="I8" s="12">
        <f>SUM(G5:G8)/4</f>
        <v>1.7625000000000002</v>
      </c>
      <c r="J8" s="9">
        <v>1.5</v>
      </c>
      <c r="K8" s="9">
        <v>20</v>
      </c>
      <c r="L8" s="12">
        <v>6.05</v>
      </c>
      <c r="M8" s="9">
        <v>80</v>
      </c>
      <c r="N8" s="9">
        <f>SUM(M5:M8)/4</f>
        <v>83.35</v>
      </c>
      <c r="O8" s="1" t="s">
        <v>47</v>
      </c>
      <c r="P8" s="13">
        <v>1</v>
      </c>
      <c r="Q8" s="1" t="s">
        <v>48</v>
      </c>
      <c r="R8" s="1" t="s">
        <v>42</v>
      </c>
      <c r="S8" s="35">
        <v>30.5</v>
      </c>
      <c r="T8" s="19">
        <v>0.99912000000000001</v>
      </c>
      <c r="U8" s="19">
        <v>5.3930309999999997</v>
      </c>
      <c r="V8" s="19">
        <v>7.5502433999999993E-2</v>
      </c>
      <c r="W8" s="19">
        <v>0.63257026671445005</v>
      </c>
      <c r="X8" s="19">
        <v>8.8559837340023012E-3</v>
      </c>
      <c r="Y8" s="19">
        <v>6.0256012667144496</v>
      </c>
      <c r="Z8" s="12">
        <f>SUM(Y5:Y8)/4</f>
        <v>2.4569854124745993</v>
      </c>
      <c r="AA8" s="19">
        <v>14.225526944377087</v>
      </c>
      <c r="AB8" s="19">
        <v>3.1167314285714287</v>
      </c>
      <c r="AC8" s="19">
        <v>0.71846857142857157</v>
      </c>
      <c r="AD8" s="19">
        <v>3.84</v>
      </c>
      <c r="AE8" s="12">
        <f>SUM(AD5:AD8)/4</f>
        <v>6.2725</v>
      </c>
      <c r="AF8" s="19">
        <v>0.8126646403242147</v>
      </c>
      <c r="AG8" s="12">
        <v>33.37537773624976</v>
      </c>
      <c r="AH8" s="12">
        <v>4.3323708387044855</v>
      </c>
      <c r="AI8" s="12">
        <v>18.557897783081572</v>
      </c>
      <c r="AJ8" s="26">
        <v>0.25981056896314203</v>
      </c>
      <c r="AK8" s="12">
        <f>SUM(AJ5:AJ8)/4</f>
        <v>0.43511040250187655</v>
      </c>
      <c r="AL8" s="17">
        <f t="shared" si="0"/>
        <v>0.3441689866971443</v>
      </c>
      <c r="AM8" s="26">
        <f>SUM(AL5:AL8)/4</f>
        <v>0.4695081982765209</v>
      </c>
      <c r="AN8" s="12">
        <v>7.7003494795525711</v>
      </c>
      <c r="AO8" s="1"/>
      <c r="AP8" s="55">
        <v>24.583499049796021</v>
      </c>
      <c r="AQ8" s="55">
        <v>0.3441689866971443</v>
      </c>
    </row>
    <row r="9" spans="1:43">
      <c r="A9" s="1" t="s">
        <v>40</v>
      </c>
      <c r="B9" s="1" t="s">
        <v>41</v>
      </c>
      <c r="C9" s="1" t="s">
        <v>0</v>
      </c>
      <c r="D9" s="3">
        <v>37790</v>
      </c>
      <c r="E9" s="34">
        <v>0.36458333333333331</v>
      </c>
      <c r="F9" s="12">
        <v>1.6</v>
      </c>
      <c r="G9" s="12">
        <v>1.5</v>
      </c>
      <c r="H9" s="12">
        <f t="shared" si="1"/>
        <v>0.10000000000000009</v>
      </c>
      <c r="I9" s="12"/>
      <c r="J9" s="9">
        <v>0.8</v>
      </c>
      <c r="K9" s="9">
        <v>18.5</v>
      </c>
      <c r="L9" s="12">
        <v>7.1</v>
      </c>
      <c r="M9" s="9">
        <v>92</v>
      </c>
      <c r="N9" s="9"/>
      <c r="O9" s="1" t="s">
        <v>49</v>
      </c>
      <c r="P9" s="13">
        <v>2</v>
      </c>
      <c r="Q9" s="1" t="s">
        <v>46</v>
      </c>
      <c r="R9" s="1" t="s">
        <v>42</v>
      </c>
      <c r="S9" s="9">
        <v>30.3</v>
      </c>
      <c r="T9" s="12">
        <v>0.35307692307692312</v>
      </c>
      <c r="U9" s="12">
        <v>0.35307692307692312</v>
      </c>
      <c r="V9" s="12">
        <f t="shared" ref="V9:V45" si="2">U9*0.014</f>
        <v>4.9430769230769242E-3</v>
      </c>
      <c r="W9" s="12">
        <v>0.29879275653923543</v>
      </c>
      <c r="X9" s="12">
        <v>0.811009035272787</v>
      </c>
      <c r="Y9" s="12">
        <v>15.597212824433571</v>
      </c>
      <c r="Z9" s="12"/>
      <c r="AA9" s="15">
        <v>16.408221859706359</v>
      </c>
      <c r="AB9" s="12">
        <v>9.7388142857142874</v>
      </c>
      <c r="AC9" s="12">
        <v>0.13861071428571178</v>
      </c>
      <c r="AD9" s="12">
        <v>9.8774249999999988</v>
      </c>
      <c r="AE9" s="12"/>
      <c r="AF9" s="12">
        <v>0.98596691806966785</v>
      </c>
      <c r="AG9" s="12">
        <v>94.710698906915596</v>
      </c>
      <c r="AH9" s="12">
        <v>15.526524101984698</v>
      </c>
      <c r="AI9" s="12">
        <f>SUM([1]Sheet1!AC183+AH9)</f>
        <v>15.526524101984698</v>
      </c>
      <c r="AJ9" s="26">
        <f t="shared" ref="AJ9:AJ45" si="3">AI9*0.014</f>
        <v>0.21737133742778578</v>
      </c>
      <c r="AK9" s="12"/>
      <c r="AL9" s="17">
        <f t="shared" si="0"/>
        <v>0.66544742300574478</v>
      </c>
      <c r="AM9" s="26"/>
      <c r="AN9" s="12">
        <v>6.0999292748857474</v>
      </c>
      <c r="AO9" s="1"/>
      <c r="AP9" s="55">
        <v>47.531958786124626</v>
      </c>
      <c r="AQ9" s="55">
        <v>0.66544742300574478</v>
      </c>
    </row>
    <row r="10" spans="1:43">
      <c r="A10" s="1" t="s">
        <v>40</v>
      </c>
      <c r="B10" s="1" t="s">
        <v>41</v>
      </c>
      <c r="C10" s="1" t="s">
        <v>0</v>
      </c>
      <c r="D10" s="3">
        <v>37805</v>
      </c>
      <c r="E10" s="34">
        <v>0.36458333333333331</v>
      </c>
      <c r="F10" s="12">
        <v>1.7</v>
      </c>
      <c r="G10" s="12">
        <v>1.7</v>
      </c>
      <c r="H10" s="12">
        <f t="shared" si="1"/>
        <v>0</v>
      </c>
      <c r="I10" s="12"/>
      <c r="J10" s="9">
        <v>0.8</v>
      </c>
      <c r="K10" s="9">
        <v>23</v>
      </c>
      <c r="L10" s="12">
        <v>6.36</v>
      </c>
      <c r="M10" s="9">
        <v>76</v>
      </c>
      <c r="N10" s="9"/>
      <c r="O10" s="1" t="s">
        <v>42</v>
      </c>
      <c r="P10" s="13">
        <v>4</v>
      </c>
      <c r="Q10" s="1" t="s">
        <v>46</v>
      </c>
      <c r="R10" s="1" t="s">
        <v>42</v>
      </c>
      <c r="S10" s="9">
        <v>30.6</v>
      </c>
      <c r="T10" s="19">
        <v>0.73838515859163256</v>
      </c>
      <c r="U10" s="19">
        <v>0.73838515859163256</v>
      </c>
      <c r="V10" s="12">
        <f t="shared" si="2"/>
        <v>1.0337392220282855E-2</v>
      </c>
      <c r="W10" s="12">
        <v>0.19215291750503022</v>
      </c>
      <c r="X10" s="12">
        <v>1.8609986891696919</v>
      </c>
      <c r="Y10" s="12">
        <v>20.267043725185935</v>
      </c>
      <c r="Z10" s="12"/>
      <c r="AA10" s="15">
        <v>22.128042414355626</v>
      </c>
      <c r="AB10" s="12">
        <v>5.4557857142857129</v>
      </c>
      <c r="AC10" s="12">
        <v>1.2966992857142867</v>
      </c>
      <c r="AD10" s="12">
        <v>6.7524850000000001</v>
      </c>
      <c r="AE10" s="12"/>
      <c r="AF10" s="12">
        <v>0.80796709867340877</v>
      </c>
      <c r="AG10" s="12">
        <v>84.738905809278975</v>
      </c>
      <c r="AH10" s="12">
        <v>13.580866184261238</v>
      </c>
      <c r="AI10" s="12">
        <f>SUM([1]Sheet1!AC184+AH10)</f>
        <v>13.580866184261238</v>
      </c>
      <c r="AJ10" s="26">
        <f t="shared" si="3"/>
        <v>0.19013212657965733</v>
      </c>
      <c r="AK10" s="12"/>
      <c r="AL10" s="17">
        <f t="shared" si="0"/>
        <v>0.78366333253323928</v>
      </c>
      <c r="AM10" s="26"/>
      <c r="AN10" s="12">
        <v>6.239580352207744</v>
      </c>
      <c r="AO10" s="1"/>
      <c r="AP10" s="55">
        <v>55.975952323802801</v>
      </c>
      <c r="AQ10" s="55">
        <v>0.78366333253323928</v>
      </c>
    </row>
    <row r="11" spans="1:43">
      <c r="A11" s="1" t="s">
        <v>40</v>
      </c>
      <c r="B11" s="1" t="s">
        <v>41</v>
      </c>
      <c r="C11" s="1" t="s">
        <v>0</v>
      </c>
      <c r="D11" s="3">
        <v>37819</v>
      </c>
      <c r="E11" s="34">
        <v>0.35416666666666669</v>
      </c>
      <c r="F11" s="12">
        <v>1.5</v>
      </c>
      <c r="G11" s="12">
        <v>1.5</v>
      </c>
      <c r="H11" s="12">
        <f t="shared" si="1"/>
        <v>0</v>
      </c>
      <c r="I11" s="12"/>
      <c r="J11" s="9">
        <v>0.75</v>
      </c>
      <c r="K11" s="9">
        <v>23.1</v>
      </c>
      <c r="L11" s="12">
        <v>5.62</v>
      </c>
      <c r="M11" s="9">
        <v>78.099999999999994</v>
      </c>
      <c r="N11" s="9"/>
      <c r="O11" s="1" t="s">
        <v>42</v>
      </c>
      <c r="P11" s="13">
        <v>1</v>
      </c>
      <c r="Q11" s="1" t="s">
        <v>44</v>
      </c>
      <c r="R11" s="1" t="s">
        <v>42</v>
      </c>
      <c r="S11" s="35">
        <v>30.4</v>
      </c>
      <c r="T11" s="19">
        <v>0.43496780980914612</v>
      </c>
      <c r="U11" s="19">
        <v>0.43496780980914612</v>
      </c>
      <c r="V11" s="12">
        <f t="shared" si="2"/>
        <v>6.0895493373280462E-3</v>
      </c>
      <c r="W11" s="12">
        <v>2.0221327967806841</v>
      </c>
      <c r="X11" s="12">
        <v>6.4755631075492834</v>
      </c>
      <c r="Y11" s="12">
        <v>35.105986647752509</v>
      </c>
      <c r="Z11" s="12"/>
      <c r="AA11" s="15">
        <v>41.581549755301793</v>
      </c>
      <c r="AB11" s="12">
        <v>6.6201642857142859</v>
      </c>
      <c r="AC11" s="12">
        <v>1.7085607142857155</v>
      </c>
      <c r="AD11" s="12">
        <v>8.3287250000000022</v>
      </c>
      <c r="AE11" s="12"/>
      <c r="AF11" s="12">
        <v>0.79485927146283308</v>
      </c>
      <c r="AG11" s="12">
        <v>80.47566776835869</v>
      </c>
      <c r="AH11" s="12">
        <v>12.36448776986445</v>
      </c>
      <c r="AI11" s="12">
        <f>SUM([1]Sheet1!AC185+AH11)</f>
        <v>12.36448776986445</v>
      </c>
      <c r="AJ11" s="26">
        <f t="shared" si="3"/>
        <v>0.17310282877810229</v>
      </c>
      <c r="AK11" s="12"/>
      <c r="AL11" s="17">
        <f t="shared" si="0"/>
        <v>1.2467283384208627</v>
      </c>
      <c r="AM11" s="26"/>
      <c r="AN11" s="12">
        <v>6.5086131561793712</v>
      </c>
      <c r="AO11" s="1"/>
      <c r="AP11" s="55">
        <v>89.052024172918749</v>
      </c>
      <c r="AQ11" s="55">
        <v>1.2467283384208625</v>
      </c>
    </row>
    <row r="12" spans="1:43">
      <c r="A12" s="1" t="s">
        <v>40</v>
      </c>
      <c r="B12" s="1" t="s">
        <v>41</v>
      </c>
      <c r="C12" s="1" t="s">
        <v>0</v>
      </c>
      <c r="D12" s="3">
        <v>37838</v>
      </c>
      <c r="E12" s="34">
        <v>0.4236111111111111</v>
      </c>
      <c r="F12" s="12">
        <v>1.84</v>
      </c>
      <c r="G12" s="12">
        <v>1.35</v>
      </c>
      <c r="H12" s="12">
        <f t="shared" si="1"/>
        <v>0.49</v>
      </c>
      <c r="I12" s="12"/>
      <c r="J12" s="9">
        <v>0.92</v>
      </c>
      <c r="K12" s="9">
        <v>25.2</v>
      </c>
      <c r="L12" s="12">
        <v>4.62</v>
      </c>
      <c r="M12" s="9">
        <v>66</v>
      </c>
      <c r="N12" s="9"/>
      <c r="O12" s="1" t="s">
        <v>42</v>
      </c>
      <c r="P12" s="13">
        <v>2</v>
      </c>
      <c r="Q12" s="1" t="s">
        <v>50</v>
      </c>
      <c r="R12" s="1" t="s">
        <v>42</v>
      </c>
      <c r="S12" s="35">
        <v>28.2</v>
      </c>
      <c r="T12" s="12">
        <v>1.2370501355845933</v>
      </c>
      <c r="U12" s="12">
        <v>1.2370501355845933</v>
      </c>
      <c r="V12" s="12">
        <f t="shared" si="2"/>
        <v>1.7318701898184307E-2</v>
      </c>
      <c r="W12" s="12">
        <v>1.1569416498993965</v>
      </c>
      <c r="X12" s="12">
        <v>6.2998608660029705</v>
      </c>
      <c r="Y12" s="12">
        <v>42.100139133997025</v>
      </c>
      <c r="Z12" s="12"/>
      <c r="AA12" s="15">
        <v>48.4</v>
      </c>
      <c r="AB12" s="12">
        <v>7.899049999999999</v>
      </c>
      <c r="AC12" s="12">
        <v>2.7461800000000003</v>
      </c>
      <c r="AD12" s="12">
        <v>10.64523</v>
      </c>
      <c r="AE12" s="12"/>
      <c r="AF12" s="12">
        <v>0.74202718024880621</v>
      </c>
      <c r="AG12" s="12">
        <v>99.665837988107015</v>
      </c>
      <c r="AH12" s="12">
        <v>16.949398554520211</v>
      </c>
      <c r="AI12" s="12">
        <f>SUM([1]Sheet1!AC186+AH12)</f>
        <v>16.949398554520211</v>
      </c>
      <c r="AJ12" s="26">
        <f t="shared" si="3"/>
        <v>0.23729157976328297</v>
      </c>
      <c r="AK12" s="12"/>
      <c r="AL12" s="17">
        <f t="shared" si="0"/>
        <v>1.5042935276392413</v>
      </c>
      <c r="AM12" s="26"/>
      <c r="AN12" s="12">
        <v>5.8801990918743998</v>
      </c>
      <c r="AO12" s="1"/>
      <c r="AP12" s="55">
        <v>107.44953768851724</v>
      </c>
      <c r="AQ12" s="55">
        <v>1.5042935276392413</v>
      </c>
    </row>
    <row r="13" spans="1:43">
      <c r="A13" s="1" t="s">
        <v>40</v>
      </c>
      <c r="B13" s="1" t="s">
        <v>41</v>
      </c>
      <c r="C13" s="1" t="s">
        <v>0</v>
      </c>
      <c r="D13" s="3">
        <v>37852</v>
      </c>
      <c r="E13" s="34">
        <v>0.34166666666666662</v>
      </c>
      <c r="F13" s="12">
        <v>2.2999999999999998</v>
      </c>
      <c r="G13" s="12">
        <v>1.7</v>
      </c>
      <c r="H13" s="12">
        <f t="shared" si="1"/>
        <v>0.59999999999999987</v>
      </c>
      <c r="I13" s="12"/>
      <c r="J13" s="9">
        <v>1.1499999999999999</v>
      </c>
      <c r="K13" s="9">
        <v>23.3</v>
      </c>
      <c r="L13" s="12">
        <v>6.24</v>
      </c>
      <c r="M13" s="9">
        <v>87.6</v>
      </c>
      <c r="N13" s="9"/>
      <c r="O13" s="1" t="s">
        <v>42</v>
      </c>
      <c r="P13" s="13">
        <v>1</v>
      </c>
      <c r="Q13" s="1" t="s">
        <v>46</v>
      </c>
      <c r="R13" s="1" t="s">
        <v>42</v>
      </c>
      <c r="S13" s="35">
        <v>30.6</v>
      </c>
      <c r="T13" s="12">
        <v>1.041144993175332</v>
      </c>
      <c r="U13" s="12">
        <v>1.041144993175332</v>
      </c>
      <c r="V13" s="12">
        <f t="shared" si="2"/>
        <v>1.4576029904454649E-2</v>
      </c>
      <c r="W13" s="12">
        <v>0.15694164989939641</v>
      </c>
      <c r="X13" s="12">
        <v>5.3619946795916249</v>
      </c>
      <c r="Y13" s="12">
        <v>15.634318534111472</v>
      </c>
      <c r="Z13" s="12"/>
      <c r="AA13" s="15">
        <v>20.996313213703097</v>
      </c>
      <c r="AB13" s="12">
        <v>4.9735928571428563</v>
      </c>
      <c r="AC13" s="15">
        <v>4.0087821428571422</v>
      </c>
      <c r="AD13" s="12">
        <v>8.9823749999999976</v>
      </c>
      <c r="AE13" s="12"/>
      <c r="AF13" s="36">
        <v>0.55370576903579038</v>
      </c>
      <c r="AG13" s="12">
        <v>53.777735338820598</v>
      </c>
      <c r="AH13" s="12">
        <v>8.4515285341917252</v>
      </c>
      <c r="AI13" s="12">
        <f>SUM([1]Sheet1!AC187+AH13)</f>
        <v>8.4515285341917252</v>
      </c>
      <c r="AJ13" s="26">
        <f t="shared" si="3"/>
        <v>0.11832139947868416</v>
      </c>
      <c r="AK13" s="12"/>
      <c r="AL13" s="17">
        <f t="shared" si="0"/>
        <v>0.63115024394808805</v>
      </c>
      <c r="AM13" s="26"/>
      <c r="AN13" s="12">
        <v>6.3630780066890837</v>
      </c>
      <c r="AO13" s="1"/>
      <c r="AP13" s="55">
        <v>45.082160282006292</v>
      </c>
      <c r="AQ13" s="55">
        <v>0.63115024394808805</v>
      </c>
    </row>
    <row r="14" spans="1:43">
      <c r="A14" s="1" t="s">
        <v>40</v>
      </c>
      <c r="B14" s="1" t="s">
        <v>41</v>
      </c>
      <c r="C14" s="1" t="s">
        <v>0</v>
      </c>
      <c r="D14" s="3">
        <v>37867</v>
      </c>
      <c r="E14" s="34">
        <v>0.34722222222222227</v>
      </c>
      <c r="F14" s="12">
        <v>2.5</v>
      </c>
      <c r="G14" s="12"/>
      <c r="H14" s="12">
        <f t="shared" si="1"/>
        <v>2.5</v>
      </c>
      <c r="I14" s="12">
        <f>SUM(G9:G14)/5</f>
        <v>1.5500000000000003</v>
      </c>
      <c r="J14" s="9">
        <v>1.25</v>
      </c>
      <c r="K14" s="9">
        <v>19</v>
      </c>
      <c r="L14" s="12">
        <v>6.2</v>
      </c>
      <c r="M14" s="9">
        <v>81.2</v>
      </c>
      <c r="N14" s="9">
        <f>SUM(M9:M14)/6</f>
        <v>80.150000000000006</v>
      </c>
      <c r="O14" s="1" t="s">
        <v>51</v>
      </c>
      <c r="P14" s="13">
        <v>2</v>
      </c>
      <c r="Q14" s="1" t="s">
        <v>43</v>
      </c>
      <c r="R14" s="1" t="s">
        <v>42</v>
      </c>
      <c r="S14" s="35">
        <v>28.2</v>
      </c>
      <c r="T14" s="12">
        <v>1.1098223666264242</v>
      </c>
      <c r="U14" s="12">
        <v>1.1098223666264242</v>
      </c>
      <c r="V14" s="12">
        <f t="shared" si="2"/>
        <v>1.5537513132769938E-2</v>
      </c>
      <c r="W14" s="36">
        <v>0.10764587525150907</v>
      </c>
      <c r="X14" s="12">
        <v>3.0298373056501453</v>
      </c>
      <c r="Y14" s="12">
        <v>17.354730394186721</v>
      </c>
      <c r="Z14" s="12">
        <f>SUM(Y9:Y14)/6</f>
        <v>24.343238543277874</v>
      </c>
      <c r="AA14" s="15">
        <v>20.384567699836865</v>
      </c>
      <c r="AB14" s="12">
        <v>2.2409642857142855</v>
      </c>
      <c r="AC14" s="12">
        <v>1.2830507142857142</v>
      </c>
      <c r="AD14" s="12">
        <v>3.5240149999999995</v>
      </c>
      <c r="AE14" s="12">
        <f>SUM(AD9:AD14)/6</f>
        <v>8.0183758333333319</v>
      </c>
      <c r="AF14" s="12">
        <v>0.63591224376578581</v>
      </c>
      <c r="AG14" s="12">
        <v>59.791016782203229</v>
      </c>
      <c r="AH14" s="12">
        <v>9.3928399713446744</v>
      </c>
      <c r="AI14" s="12">
        <f>SUM([1]Sheet1!AC188+AH14)</f>
        <v>9.3928399713446744</v>
      </c>
      <c r="AJ14" s="26">
        <f t="shared" si="3"/>
        <v>0.13149975959882546</v>
      </c>
      <c r="AK14" s="12">
        <f>SUM(AJ9:AJ14)/6</f>
        <v>0.17795317193772298</v>
      </c>
      <c r="AL14" s="17">
        <f t="shared" si="0"/>
        <v>0.65984993291515559</v>
      </c>
      <c r="AM14" s="26">
        <f>SUM(AL9:AL14)/6</f>
        <v>0.91518879974372191</v>
      </c>
      <c r="AN14" s="12">
        <v>6.3655951729840421</v>
      </c>
      <c r="AO14" s="1"/>
      <c r="AP14" s="55">
        <v>47.13213806536826</v>
      </c>
      <c r="AQ14" s="55">
        <v>0.6598499329151557</v>
      </c>
    </row>
    <row r="15" spans="1:43">
      <c r="A15" s="1" t="s">
        <v>40</v>
      </c>
      <c r="B15" s="1" t="s">
        <v>41</v>
      </c>
      <c r="C15" s="1" t="s">
        <v>0</v>
      </c>
      <c r="D15" s="3">
        <v>38161</v>
      </c>
      <c r="E15" s="1"/>
      <c r="F15" s="12"/>
      <c r="G15" s="12"/>
      <c r="H15" s="12">
        <f t="shared" si="1"/>
        <v>0</v>
      </c>
      <c r="I15" s="12"/>
      <c r="J15" s="9"/>
      <c r="K15" s="9"/>
      <c r="L15" s="12"/>
      <c r="M15" s="9"/>
      <c r="N15" s="9"/>
      <c r="O15" s="1"/>
      <c r="P15" s="13"/>
      <c r="Q15" s="1"/>
      <c r="R15" s="1"/>
      <c r="S15" s="18">
        <v>31.5</v>
      </c>
      <c r="T15" s="12">
        <v>0.34386694386694394</v>
      </c>
      <c r="U15" s="12">
        <v>1.6206109758783689</v>
      </c>
      <c r="V15" s="12">
        <f t="shared" si="2"/>
        <v>2.2688553662297165E-2</v>
      </c>
      <c r="W15" s="12">
        <v>6.9635193133047206</v>
      </c>
      <c r="X15" s="12">
        <f t="shared" ref="X15:X45" si="4">W15*0.014</f>
        <v>9.7489270386266091E-2</v>
      </c>
      <c r="Y15" s="12">
        <v>8.58413028918309</v>
      </c>
      <c r="Z15" s="12"/>
      <c r="AA15" s="12">
        <v>28.891002530011431</v>
      </c>
      <c r="AB15" s="19">
        <v>4.2094428571428573</v>
      </c>
      <c r="AC15" s="19">
        <v>1.507147142857143</v>
      </c>
      <c r="AD15" s="12">
        <f t="shared" ref="AD15:AD26" si="5">AB15+AC15</f>
        <v>5.7165900000000001</v>
      </c>
      <c r="AE15" s="12"/>
      <c r="AF15" s="19">
        <v>0.73635556461856755</v>
      </c>
      <c r="AG15" s="12">
        <v>54.561578590277165</v>
      </c>
      <c r="AH15" s="12">
        <v>8.6839311223845872</v>
      </c>
      <c r="AI15" s="15">
        <v>37.475132819194521</v>
      </c>
      <c r="AJ15" s="26">
        <f t="shared" si="3"/>
        <v>0.52465185946872328</v>
      </c>
      <c r="AK15" s="12"/>
      <c r="AL15" s="17">
        <f t="shared" si="0"/>
        <v>0.64622689518210752</v>
      </c>
      <c r="AM15" s="26"/>
      <c r="AN15" s="12">
        <v>6.2830505932542087</v>
      </c>
      <c r="AO15" s="1"/>
      <c r="AP15" s="55">
        <v>46.059263108377607</v>
      </c>
      <c r="AQ15" s="55">
        <v>0.64482968351728653</v>
      </c>
    </row>
    <row r="16" spans="1:43">
      <c r="A16" s="1" t="s">
        <v>40</v>
      </c>
      <c r="B16" s="1" t="s">
        <v>41</v>
      </c>
      <c r="C16" s="1" t="s">
        <v>0</v>
      </c>
      <c r="D16" s="3">
        <v>38175</v>
      </c>
      <c r="E16" s="1"/>
      <c r="F16" s="12"/>
      <c r="G16" s="12"/>
      <c r="H16" s="12">
        <f t="shared" si="1"/>
        <v>0</v>
      </c>
      <c r="I16" s="12"/>
      <c r="J16" s="9"/>
      <c r="K16" s="9"/>
      <c r="L16" s="12"/>
      <c r="M16" s="9"/>
      <c r="N16" s="9"/>
      <c r="O16" s="1"/>
      <c r="P16" s="13"/>
      <c r="Q16" s="1"/>
      <c r="R16" s="1"/>
      <c r="S16" s="18">
        <v>30.3</v>
      </c>
      <c r="T16" s="12">
        <v>0.80184533176974315</v>
      </c>
      <c r="U16" s="12">
        <v>1.9732155560343259</v>
      </c>
      <c r="V16" s="12">
        <f t="shared" si="2"/>
        <v>2.7625017784480562E-2</v>
      </c>
      <c r="W16" s="12">
        <v>7.221030042918454E-2</v>
      </c>
      <c r="X16" s="12">
        <f t="shared" si="4"/>
        <v>1.0109442060085836E-3</v>
      </c>
      <c r="Y16" s="12">
        <v>2.0454258564635106</v>
      </c>
      <c r="Z16" s="12"/>
      <c r="AA16" s="12">
        <v>24.50425709126571</v>
      </c>
      <c r="AB16" s="19">
        <v>6.0709428571428576</v>
      </c>
      <c r="AC16" s="19">
        <v>1.1805771428571421</v>
      </c>
      <c r="AD16" s="12">
        <f t="shared" si="5"/>
        <v>7.2515199999999993</v>
      </c>
      <c r="AE16" s="12"/>
      <c r="AF16" s="19">
        <v>0.8371959061193871</v>
      </c>
      <c r="AG16" s="12">
        <v>69.718742312748219</v>
      </c>
      <c r="AH16" s="12">
        <v>11.176071089843303</v>
      </c>
      <c r="AI16" s="15">
        <v>26.54968294772922</v>
      </c>
      <c r="AJ16" s="26">
        <f t="shared" si="3"/>
        <v>0.37169556126820907</v>
      </c>
      <c r="AK16" s="12"/>
      <c r="AL16" s="17">
        <f t="shared" si="0"/>
        <v>0.52816055652601535</v>
      </c>
      <c r="AM16" s="26"/>
      <c r="AN16" s="12">
        <v>6.2382157157274962</v>
      </c>
      <c r="AO16" s="1"/>
      <c r="AP16" s="55">
        <v>28.59510880419273</v>
      </c>
      <c r="AQ16" s="55">
        <v>0.40033152325869825</v>
      </c>
    </row>
    <row r="17" spans="1:43">
      <c r="A17" s="1" t="s">
        <v>40</v>
      </c>
      <c r="B17" s="1" t="s">
        <v>41</v>
      </c>
      <c r="C17" s="1" t="s">
        <v>0</v>
      </c>
      <c r="D17" s="3">
        <v>38190</v>
      </c>
      <c r="E17" s="1"/>
      <c r="F17" s="12"/>
      <c r="G17" s="12"/>
      <c r="H17" s="12">
        <f t="shared" si="1"/>
        <v>0</v>
      </c>
      <c r="I17" s="12"/>
      <c r="J17" s="9"/>
      <c r="K17" s="9"/>
      <c r="L17" s="12"/>
      <c r="M17" s="9"/>
      <c r="N17" s="9"/>
      <c r="O17" s="1"/>
      <c r="P17" s="13"/>
      <c r="Q17" s="1"/>
      <c r="R17" s="1"/>
      <c r="S17" s="18">
        <v>31.4</v>
      </c>
      <c r="T17" s="12">
        <v>0.5541725033122632</v>
      </c>
      <c r="U17" s="12">
        <v>5.4716158919598001</v>
      </c>
      <c r="V17" s="12">
        <f t="shared" si="2"/>
        <v>7.6602622487437197E-2</v>
      </c>
      <c r="W17" s="12">
        <v>0.53540772532188841</v>
      </c>
      <c r="X17" s="12">
        <f t="shared" si="4"/>
        <v>7.4957081545064383E-3</v>
      </c>
      <c r="Y17" s="12">
        <v>6.0070236172816882</v>
      </c>
      <c r="Z17" s="12"/>
      <c r="AA17" s="12">
        <v>104.12297638271831</v>
      </c>
      <c r="AB17" s="19">
        <v>11.354785714285713</v>
      </c>
      <c r="AC17" s="19">
        <v>2.6853442857142853</v>
      </c>
      <c r="AD17" s="12">
        <f t="shared" si="5"/>
        <v>14.040129999999998</v>
      </c>
      <c r="AE17" s="12"/>
      <c r="AF17" s="19">
        <v>0.80873793293122742</v>
      </c>
      <c r="AG17" s="12">
        <v>68.981850454496353</v>
      </c>
      <c r="AH17" s="12">
        <v>9.8700484476833648</v>
      </c>
      <c r="AI17" s="15">
        <v>110.13</v>
      </c>
      <c r="AJ17" s="26">
        <f t="shared" si="3"/>
        <v>1.54182</v>
      </c>
      <c r="AK17" s="12"/>
      <c r="AL17" s="17">
        <f t="shared" si="0"/>
        <v>1.6800006782675669</v>
      </c>
      <c r="AM17" s="26"/>
      <c r="AN17" s="12">
        <v>6.9890082931342992</v>
      </c>
      <c r="AO17" s="1"/>
      <c r="AP17" s="55">
        <v>116.13702361728168</v>
      </c>
      <c r="AQ17" s="55">
        <v>1.6259183306419436</v>
      </c>
    </row>
    <row r="18" spans="1:43">
      <c r="A18" s="1" t="s">
        <v>40</v>
      </c>
      <c r="B18" s="1" t="s">
        <v>41</v>
      </c>
      <c r="C18" s="1" t="s">
        <v>0</v>
      </c>
      <c r="D18" s="3">
        <v>38204</v>
      </c>
      <c r="E18" s="1"/>
      <c r="F18" s="12"/>
      <c r="G18" s="12"/>
      <c r="H18" s="12">
        <f t="shared" si="1"/>
        <v>0</v>
      </c>
      <c r="I18" s="12"/>
      <c r="J18" s="9"/>
      <c r="K18" s="9"/>
      <c r="L18" s="12"/>
      <c r="M18" s="9"/>
      <c r="N18" s="9"/>
      <c r="O18" s="1"/>
      <c r="P18" s="13"/>
      <c r="Q18" s="1"/>
      <c r="R18" s="1"/>
      <c r="S18" s="18">
        <v>29.9</v>
      </c>
      <c r="T18" s="12">
        <v>0.82527010735403838</v>
      </c>
      <c r="U18" s="12">
        <v>0.61477102770457748</v>
      </c>
      <c r="V18" s="12">
        <f t="shared" si="2"/>
        <v>8.6067943878640855E-3</v>
      </c>
      <c r="W18" s="12">
        <v>9.0641564925960122E-2</v>
      </c>
      <c r="X18" s="12">
        <f t="shared" si="4"/>
        <v>1.2689819089634418E-3</v>
      </c>
      <c r="Y18" s="12">
        <v>0.70541259263053757</v>
      </c>
      <c r="Z18" s="12"/>
      <c r="AA18" s="12">
        <v>23.707377407369464</v>
      </c>
      <c r="AB18" s="19">
        <v>6.1429499999999999</v>
      </c>
      <c r="AC18" s="19">
        <v>0.76695500000000083</v>
      </c>
      <c r="AD18" s="12">
        <f t="shared" si="5"/>
        <v>6.9099050000000011</v>
      </c>
      <c r="AE18" s="12"/>
      <c r="AF18" s="19">
        <v>0.88900643351826092</v>
      </c>
      <c r="AG18" s="12">
        <v>63.350141895632035</v>
      </c>
      <c r="AH18" s="12">
        <v>9.400377828940897</v>
      </c>
      <c r="AI18" s="15">
        <v>24.412790000000001</v>
      </c>
      <c r="AJ18" s="26">
        <f t="shared" si="3"/>
        <v>0.34177906000000002</v>
      </c>
      <c r="AK18" s="12"/>
      <c r="AL18" s="17">
        <f t="shared" si="0"/>
        <v>0.47338434960517256</v>
      </c>
      <c r="AM18" s="26"/>
      <c r="AN18" s="12">
        <v>6.7391059219552076</v>
      </c>
      <c r="AO18" s="1"/>
      <c r="AP18" s="55">
        <v>25.118202592630539</v>
      </c>
      <c r="AQ18" s="55">
        <v>0.35165483629682753</v>
      </c>
    </row>
    <row r="19" spans="1:43">
      <c r="A19" s="1" t="s">
        <v>40</v>
      </c>
      <c r="B19" s="1" t="s">
        <v>41</v>
      </c>
      <c r="C19" s="1" t="s">
        <v>0</v>
      </c>
      <c r="D19" s="3">
        <v>38218</v>
      </c>
      <c r="E19" s="1"/>
      <c r="F19" s="12"/>
      <c r="G19" s="12"/>
      <c r="H19" s="12">
        <f t="shared" si="1"/>
        <v>0</v>
      </c>
      <c r="I19" s="12"/>
      <c r="J19" s="9"/>
      <c r="K19" s="9"/>
      <c r="L19" s="12"/>
      <c r="M19" s="9"/>
      <c r="N19" s="9"/>
      <c r="O19" s="1"/>
      <c r="P19" s="13"/>
      <c r="Q19" s="1"/>
      <c r="R19" s="1"/>
      <c r="S19" s="18">
        <v>31</v>
      </c>
      <c r="T19" s="12">
        <v>0.80790512990201335</v>
      </c>
      <c r="U19" s="12">
        <v>3.1995017910067824</v>
      </c>
      <c r="V19" s="12">
        <f t="shared" si="2"/>
        <v>4.4793025074094953E-2</v>
      </c>
      <c r="W19" s="12">
        <v>0.36506959406313044</v>
      </c>
      <c r="X19" s="12">
        <f t="shared" si="4"/>
        <v>5.1109743168838264E-3</v>
      </c>
      <c r="Y19" s="12">
        <v>3.5645713850699128</v>
      </c>
      <c r="Z19" s="12"/>
      <c r="AA19" s="12">
        <v>52.869430328726139</v>
      </c>
      <c r="AB19" s="19">
        <v>6.8706714285714288</v>
      </c>
      <c r="AC19" s="19">
        <v>2.9549885714285731</v>
      </c>
      <c r="AD19" s="12">
        <f t="shared" si="5"/>
        <v>9.8256600000000027</v>
      </c>
      <c r="AE19" s="12"/>
      <c r="AF19" s="19">
        <v>0.69925800695031448</v>
      </c>
      <c r="AG19" s="12">
        <v>78.021809179520147</v>
      </c>
      <c r="AH19" s="12">
        <v>12.042275059367283</v>
      </c>
      <c r="AI19" s="15">
        <v>56.43400171379605</v>
      </c>
      <c r="AJ19" s="26">
        <f t="shared" si="3"/>
        <v>0.79007602399314469</v>
      </c>
      <c r="AK19" s="12"/>
      <c r="AL19" s="17">
        <f t="shared" si="0"/>
        <v>0.95866787482428673</v>
      </c>
      <c r="AM19" s="26"/>
      <c r="AN19" s="12">
        <v>6.4789924490912201</v>
      </c>
      <c r="AO19" s="1"/>
      <c r="AP19" s="55">
        <v>59.998573098865961</v>
      </c>
      <c r="AQ19" s="55">
        <v>0.83998002338412348</v>
      </c>
    </row>
    <row r="20" spans="1:43">
      <c r="A20" s="1" t="s">
        <v>40</v>
      </c>
      <c r="B20" s="1" t="s">
        <v>41</v>
      </c>
      <c r="C20" s="1" t="s">
        <v>0</v>
      </c>
      <c r="D20" s="3">
        <v>38237</v>
      </c>
      <c r="E20" s="1"/>
      <c r="F20" s="12"/>
      <c r="G20" s="12"/>
      <c r="H20" s="12">
        <f t="shared" si="1"/>
        <v>0</v>
      </c>
      <c r="I20" s="12"/>
      <c r="J20" s="9"/>
      <c r="K20" s="9"/>
      <c r="L20" s="12"/>
      <c r="M20" s="9"/>
      <c r="N20" s="9"/>
      <c r="O20" s="1"/>
      <c r="P20" s="13"/>
      <c r="Q20" s="1"/>
      <c r="R20" s="1"/>
      <c r="S20" s="18">
        <v>31.7</v>
      </c>
      <c r="T20" s="12">
        <v>0.58096550174575579</v>
      </c>
      <c r="U20" s="12">
        <v>1.4976277409484982</v>
      </c>
      <c r="V20" s="12">
        <f t="shared" si="2"/>
        <v>2.0966788373278974E-2</v>
      </c>
      <c r="W20" s="12">
        <v>0.31395985089429218</v>
      </c>
      <c r="X20" s="12">
        <f t="shared" si="4"/>
        <v>4.395437912520091E-3</v>
      </c>
      <c r="Y20" s="12">
        <v>1.8115875918427904</v>
      </c>
      <c r="Z20" s="12">
        <f>SUM(Y15:Y20)/6</f>
        <v>3.7863585554119221</v>
      </c>
      <c r="AA20" s="12">
        <v>26.666115921439133</v>
      </c>
      <c r="AB20" s="19">
        <v>2.7234000000000012</v>
      </c>
      <c r="AC20" s="19">
        <v>1.0996279999999998</v>
      </c>
      <c r="AD20" s="12">
        <f t="shared" si="5"/>
        <v>3.8230280000000008</v>
      </c>
      <c r="AE20" s="12">
        <f>SUM(AD15:AD20)/6</f>
        <v>7.927805499999999</v>
      </c>
      <c r="AF20" s="19">
        <v>0.71236726490101576</v>
      </c>
      <c r="AG20" s="12">
        <v>45.736922622477323</v>
      </c>
      <c r="AH20" s="12">
        <v>5.9972559727984311</v>
      </c>
      <c r="AI20" s="15">
        <v>28.477703513281924</v>
      </c>
      <c r="AJ20" s="26">
        <f t="shared" si="3"/>
        <v>0.39868784918594696</v>
      </c>
      <c r="AK20" s="12">
        <f>SUM(AJ15:AJ20)/6</f>
        <v>0.66145172565267074</v>
      </c>
      <c r="AL20" s="17">
        <f t="shared" si="0"/>
        <v>0.4826494328051249</v>
      </c>
      <c r="AM20" s="26">
        <f>SUM(AL15:AL20)/6</f>
        <v>0.79484829786837896</v>
      </c>
      <c r="AN20" s="12">
        <v>7.6263082366210266</v>
      </c>
      <c r="AO20" s="1"/>
      <c r="AP20" s="55">
        <v>30.289291105124715</v>
      </c>
      <c r="AQ20" s="55">
        <v>0.424050075471746</v>
      </c>
    </row>
    <row r="21" spans="1:43">
      <c r="A21" s="37" t="s">
        <v>40</v>
      </c>
      <c r="B21" s="1" t="s">
        <v>41</v>
      </c>
      <c r="C21" s="1" t="s">
        <v>0</v>
      </c>
      <c r="D21" s="38">
        <v>38517</v>
      </c>
      <c r="E21" s="1"/>
      <c r="F21" s="39">
        <v>2.2999999999999998</v>
      </c>
      <c r="G21" s="12">
        <v>2.2000000000000002</v>
      </c>
      <c r="H21" s="12">
        <f t="shared" si="1"/>
        <v>9.9999999999999645E-2</v>
      </c>
      <c r="I21" s="12"/>
      <c r="J21" s="40">
        <v>1.6</v>
      </c>
      <c r="K21" s="18">
        <v>20.6</v>
      </c>
      <c r="L21" s="15">
        <v>6.02</v>
      </c>
      <c r="M21" s="18">
        <v>79.400000000000006</v>
      </c>
      <c r="N21" s="9"/>
      <c r="O21" s="1"/>
      <c r="P21" s="13"/>
      <c r="Q21" s="1"/>
      <c r="R21" s="1"/>
      <c r="S21" s="18">
        <v>29.8</v>
      </c>
      <c r="T21" s="15">
        <v>0.4548387096774193</v>
      </c>
      <c r="U21" s="15">
        <v>1.089543950063308</v>
      </c>
      <c r="V21" s="12">
        <f t="shared" si="2"/>
        <v>1.5253615300886312E-2</v>
      </c>
      <c r="W21" s="15">
        <v>0.05</v>
      </c>
      <c r="X21" s="12">
        <f t="shared" si="4"/>
        <v>7.000000000000001E-4</v>
      </c>
      <c r="Y21" s="15">
        <v>1.1145439500633079</v>
      </c>
      <c r="Z21" s="12"/>
      <c r="AA21" s="15">
        <v>18.992811961998484</v>
      </c>
      <c r="AB21" s="15">
        <v>6.7779445238095262</v>
      </c>
      <c r="AC21" s="15">
        <v>1.6466096827876975</v>
      </c>
      <c r="AD21" s="12">
        <f t="shared" si="5"/>
        <v>8.4245542065972234</v>
      </c>
      <c r="AE21" s="12"/>
      <c r="AF21" s="15">
        <v>0.80454637213940106</v>
      </c>
      <c r="AG21" s="15">
        <v>75.178571553516804</v>
      </c>
      <c r="AH21" s="15">
        <v>11.927639971195322</v>
      </c>
      <c r="AI21" s="15">
        <v>30.920451933193807</v>
      </c>
      <c r="AJ21" s="26">
        <f t="shared" si="3"/>
        <v>0.43288632706471331</v>
      </c>
      <c r="AK21" s="12"/>
      <c r="AL21" s="17">
        <f t="shared" si="0"/>
        <v>0.44848994236559958</v>
      </c>
      <c r="AM21" s="26"/>
      <c r="AN21" s="15">
        <v>6.3028873888773838</v>
      </c>
      <c r="AO21" s="1"/>
      <c r="AP21" s="55">
        <v>32.034995883257118</v>
      </c>
      <c r="AQ21" s="55">
        <v>0.44848994236559964</v>
      </c>
    </row>
    <row r="22" spans="1:43">
      <c r="A22" s="37" t="s">
        <v>40</v>
      </c>
      <c r="B22" s="1" t="s">
        <v>41</v>
      </c>
      <c r="C22" s="1" t="s">
        <v>0</v>
      </c>
      <c r="D22" s="38">
        <v>38546</v>
      </c>
      <c r="E22" s="1"/>
      <c r="F22" s="39">
        <v>2.2000000000000002</v>
      </c>
      <c r="G22" s="12">
        <v>1.9</v>
      </c>
      <c r="H22" s="12">
        <f t="shared" si="1"/>
        <v>0.30000000000000027</v>
      </c>
      <c r="I22" s="12"/>
      <c r="J22" s="40">
        <v>2.2000000000000002</v>
      </c>
      <c r="K22" s="18">
        <v>21.4</v>
      </c>
      <c r="L22" s="15">
        <v>7.23</v>
      </c>
      <c r="M22" s="18">
        <v>96.7</v>
      </c>
      <c r="N22" s="9"/>
      <c r="O22" s="1"/>
      <c r="P22" s="13"/>
      <c r="Q22" s="1"/>
      <c r="R22" s="1"/>
      <c r="S22" s="40">
        <v>29.7</v>
      </c>
      <c r="T22" s="15">
        <v>0.33163590070019094</v>
      </c>
      <c r="U22" s="15">
        <v>0.21180265400942511</v>
      </c>
      <c r="V22" s="12">
        <f t="shared" si="2"/>
        <v>2.9652371561319515E-3</v>
      </c>
      <c r="W22" s="15">
        <v>0.05</v>
      </c>
      <c r="X22" s="12">
        <f t="shared" si="4"/>
        <v>7.000000000000001E-4</v>
      </c>
      <c r="Y22" s="15">
        <v>0.2368026540094251</v>
      </c>
      <c r="Z22" s="12"/>
      <c r="AA22" s="15">
        <v>18.593072568806974</v>
      </c>
      <c r="AB22" s="15">
        <v>8.5997535714285718</v>
      </c>
      <c r="AC22" s="15">
        <v>0.81937298846726214</v>
      </c>
      <c r="AD22" s="12">
        <f t="shared" si="5"/>
        <v>9.4191265598958331</v>
      </c>
      <c r="AE22" s="12"/>
      <c r="AF22" s="15">
        <v>0.91300966355458724</v>
      </c>
      <c r="AG22" s="15">
        <v>60.213925942682145</v>
      </c>
      <c r="AH22" s="15">
        <v>9.4837152816462407</v>
      </c>
      <c r="AI22" s="15">
        <v>28.076787850453215</v>
      </c>
      <c r="AJ22" s="26">
        <f t="shared" si="3"/>
        <v>0.39307502990634502</v>
      </c>
      <c r="AK22" s="12"/>
      <c r="AL22" s="17">
        <f t="shared" si="0"/>
        <v>0.39639026706247693</v>
      </c>
      <c r="AM22" s="26"/>
      <c r="AN22" s="15">
        <v>6.3491916569040914</v>
      </c>
      <c r="AO22" s="1"/>
      <c r="AP22" s="55">
        <v>28.313590504462638</v>
      </c>
      <c r="AQ22" s="55">
        <v>0.39639026706247693</v>
      </c>
    </row>
    <row r="23" spans="1:43">
      <c r="A23" s="37" t="s">
        <v>40</v>
      </c>
      <c r="B23" s="1" t="s">
        <v>41</v>
      </c>
      <c r="C23" s="1" t="s">
        <v>0</v>
      </c>
      <c r="D23" s="38">
        <v>38559</v>
      </c>
      <c r="E23" s="1"/>
      <c r="F23" s="39">
        <v>1.9</v>
      </c>
      <c r="G23" s="12">
        <v>1.2</v>
      </c>
      <c r="H23" s="12">
        <f t="shared" si="1"/>
        <v>0.7</v>
      </c>
      <c r="I23" s="12"/>
      <c r="J23" s="40">
        <v>1</v>
      </c>
      <c r="K23" s="18">
        <v>23</v>
      </c>
      <c r="L23" s="15">
        <v>5.16</v>
      </c>
      <c r="M23" s="18">
        <v>69</v>
      </c>
      <c r="N23" s="9"/>
      <c r="O23" s="1"/>
      <c r="P23" s="13"/>
      <c r="Q23" s="1"/>
      <c r="R23" s="1"/>
      <c r="S23" s="40">
        <v>29.8</v>
      </c>
      <c r="T23" s="15">
        <v>0.4</v>
      </c>
      <c r="U23" s="15">
        <v>1.7362937639315783</v>
      </c>
      <c r="V23" s="12">
        <f t="shared" si="2"/>
        <v>2.4308112695042097E-2</v>
      </c>
      <c r="W23" s="15">
        <v>0.18427898909811691</v>
      </c>
      <c r="X23" s="12">
        <f t="shared" si="4"/>
        <v>2.5799058473736369E-3</v>
      </c>
      <c r="Y23" s="15">
        <v>1.9205727530296952</v>
      </c>
      <c r="Z23" s="12"/>
      <c r="AA23" s="15">
        <v>28.733426058616175</v>
      </c>
      <c r="AB23" s="15">
        <v>12.137756985806675</v>
      </c>
      <c r="AC23" s="15">
        <v>2.0599689263518326</v>
      </c>
      <c r="AD23" s="12">
        <f t="shared" si="5"/>
        <v>14.197725912158507</v>
      </c>
      <c r="AE23" s="12"/>
      <c r="AF23" s="15">
        <v>0.85490852978167886</v>
      </c>
      <c r="AG23" s="15">
        <v>108.68045652225165</v>
      </c>
      <c r="AH23" s="15">
        <v>17.348135428916475</v>
      </c>
      <c r="AI23" s="15">
        <v>46.081561487532653</v>
      </c>
      <c r="AJ23" s="26">
        <f t="shared" si="3"/>
        <v>0.6451418608254571</v>
      </c>
      <c r="AK23" s="12"/>
      <c r="AL23" s="17">
        <f t="shared" si="0"/>
        <v>0.67202987936787284</v>
      </c>
      <c r="AM23" s="26"/>
      <c r="AN23" s="15">
        <v>6.2646765104853452</v>
      </c>
      <c r="AO23" s="1"/>
      <c r="AP23" s="55">
        <v>48.002134240562349</v>
      </c>
      <c r="AQ23" s="55">
        <v>0.67202987936787284</v>
      </c>
    </row>
    <row r="24" spans="1:43">
      <c r="A24" s="37" t="s">
        <v>40</v>
      </c>
      <c r="B24" s="1" t="s">
        <v>41</v>
      </c>
      <c r="C24" s="1" t="s">
        <v>0</v>
      </c>
      <c r="D24" s="38">
        <v>38574</v>
      </c>
      <c r="E24" s="1"/>
      <c r="F24" s="39">
        <v>1.7</v>
      </c>
      <c r="G24" s="12">
        <v>1.5</v>
      </c>
      <c r="H24" s="12">
        <f t="shared" si="1"/>
        <v>0.19999999999999996</v>
      </c>
      <c r="I24" s="12"/>
      <c r="J24" s="40">
        <v>1.2</v>
      </c>
      <c r="K24" s="18">
        <v>24.8</v>
      </c>
      <c r="L24" s="15">
        <v>5</v>
      </c>
      <c r="M24" s="18">
        <v>69.8</v>
      </c>
      <c r="N24" s="9"/>
      <c r="O24" s="1"/>
      <c r="P24" s="13"/>
      <c r="Q24" s="1"/>
      <c r="R24" s="1"/>
      <c r="S24" s="18">
        <v>30.1</v>
      </c>
      <c r="T24" s="15">
        <v>0.89702818791946315</v>
      </c>
      <c r="U24" s="15">
        <v>2.0772238514173997</v>
      </c>
      <c r="V24" s="12">
        <f t="shared" si="2"/>
        <v>2.9081133919843596E-2</v>
      </c>
      <c r="W24" s="15">
        <v>0.27167988107036667</v>
      </c>
      <c r="X24" s="12">
        <f t="shared" si="4"/>
        <v>3.8035183349851335E-3</v>
      </c>
      <c r="Y24" s="15">
        <v>2.3489037324877664</v>
      </c>
      <c r="Z24" s="12"/>
      <c r="AA24" s="15">
        <v>20.283704704826548</v>
      </c>
      <c r="AB24" s="15">
        <v>10.356912324189805</v>
      </c>
      <c r="AC24" s="15">
        <v>3.8834338029040283</v>
      </c>
      <c r="AD24" s="12">
        <f t="shared" si="5"/>
        <v>14.240346127093833</v>
      </c>
      <c r="AE24" s="12"/>
      <c r="AF24" s="15">
        <v>0.72729358063036365</v>
      </c>
      <c r="AG24" s="15">
        <v>75.786582734151168</v>
      </c>
      <c r="AH24" s="15">
        <v>12.333044850709737</v>
      </c>
      <c r="AI24" s="15">
        <v>32.616749555536288</v>
      </c>
      <c r="AJ24" s="26">
        <f t="shared" si="3"/>
        <v>0.45663449377750803</v>
      </c>
      <c r="AK24" s="12"/>
      <c r="AL24" s="17">
        <f t="shared" si="0"/>
        <v>0.4895191460323367</v>
      </c>
      <c r="AM24" s="26"/>
      <c r="AN24" s="15">
        <v>6.1450017940857347</v>
      </c>
      <c r="AO24" s="1"/>
      <c r="AP24" s="55">
        <v>34.965653288024058</v>
      </c>
      <c r="AQ24" s="55">
        <v>0.48951914603233682</v>
      </c>
    </row>
    <row r="25" spans="1:43">
      <c r="A25" s="37" t="s">
        <v>40</v>
      </c>
      <c r="B25" s="1" t="s">
        <v>41</v>
      </c>
      <c r="C25" s="1" t="s">
        <v>0</v>
      </c>
      <c r="D25" s="38">
        <v>38588</v>
      </c>
      <c r="E25" s="1"/>
      <c r="F25" s="39">
        <v>2.0499999999999998</v>
      </c>
      <c r="G25" s="12">
        <v>1.95</v>
      </c>
      <c r="H25" s="12">
        <f t="shared" si="1"/>
        <v>9.9999999999999867E-2</v>
      </c>
      <c r="I25" s="12"/>
      <c r="J25" s="40">
        <v>1</v>
      </c>
      <c r="K25" s="18">
        <v>23.5</v>
      </c>
      <c r="L25" s="15">
        <v>6.8</v>
      </c>
      <c r="M25" s="18">
        <v>67.8</v>
      </c>
      <c r="N25" s="9"/>
      <c r="O25" s="1"/>
      <c r="P25" s="13"/>
      <c r="Q25" s="1"/>
      <c r="R25" s="1"/>
      <c r="S25" s="18">
        <v>31.8</v>
      </c>
      <c r="T25" s="15">
        <v>1.0496543207091782</v>
      </c>
      <c r="U25" s="15">
        <v>1.2124448697866117</v>
      </c>
      <c r="V25" s="12">
        <f t="shared" si="2"/>
        <v>1.6974228177012565E-2</v>
      </c>
      <c r="W25" s="15">
        <v>0.05</v>
      </c>
      <c r="X25" s="12">
        <f t="shared" si="4"/>
        <v>7.000000000000001E-4</v>
      </c>
      <c r="Y25" s="15">
        <v>1.2374448697866116</v>
      </c>
      <c r="Z25" s="12"/>
      <c r="AA25" s="15">
        <v>12.096292503950757</v>
      </c>
      <c r="AB25" s="15">
        <v>7.6796424845905094</v>
      </c>
      <c r="AC25" s="15">
        <v>2.0543262500082831</v>
      </c>
      <c r="AD25" s="12">
        <f t="shared" si="5"/>
        <v>9.7339687345987933</v>
      </c>
      <c r="AE25" s="12"/>
      <c r="AF25" s="15">
        <v>0.78895286126137765</v>
      </c>
      <c r="AG25" s="15">
        <v>63.931439157359932</v>
      </c>
      <c r="AH25" s="15">
        <v>10.615568884472129</v>
      </c>
      <c r="AI25" s="15">
        <v>22.711861388422886</v>
      </c>
      <c r="AJ25" s="26">
        <f t="shared" si="3"/>
        <v>0.31796605943792039</v>
      </c>
      <c r="AK25" s="12"/>
      <c r="AL25" s="17">
        <f t="shared" si="0"/>
        <v>0.33529028761493296</v>
      </c>
      <c r="AM25" s="26"/>
      <c r="AN25" s="15">
        <v>6.0224223358274589</v>
      </c>
      <c r="AO25" s="1"/>
      <c r="AP25" s="55">
        <v>23.949306258209496</v>
      </c>
      <c r="AQ25" s="55">
        <v>0.33529028761493296</v>
      </c>
    </row>
    <row r="26" spans="1:43">
      <c r="A26" s="37" t="s">
        <v>40</v>
      </c>
      <c r="B26" s="1" t="s">
        <v>41</v>
      </c>
      <c r="C26" s="1" t="s">
        <v>0</v>
      </c>
      <c r="D26" s="38">
        <v>38603</v>
      </c>
      <c r="E26" s="1"/>
      <c r="F26" s="39">
        <v>1.8</v>
      </c>
      <c r="G26" s="12">
        <v>1.35</v>
      </c>
      <c r="H26" s="12">
        <f t="shared" si="1"/>
        <v>0.44999999999999996</v>
      </c>
      <c r="I26" s="12">
        <f>SUM(G21:G26)/6</f>
        <v>1.6833333333333333</v>
      </c>
      <c r="J26" s="40">
        <v>0.9</v>
      </c>
      <c r="K26" s="18">
        <v>22</v>
      </c>
      <c r="L26" s="15">
        <v>7.12</v>
      </c>
      <c r="M26" s="18">
        <v>81.400000000000006</v>
      </c>
      <c r="N26" s="9">
        <f>SUM(M21:M26)/6</f>
        <v>77.350000000000009</v>
      </c>
      <c r="O26" s="1"/>
      <c r="P26" s="13"/>
      <c r="Q26" s="1"/>
      <c r="R26" s="1"/>
      <c r="S26" s="18">
        <v>31</v>
      </c>
      <c r="T26" s="15">
        <v>0.9027275761256992</v>
      </c>
      <c r="U26" s="15">
        <v>3.0784064135608227</v>
      </c>
      <c r="V26" s="12">
        <f t="shared" si="2"/>
        <v>4.3097689789851519E-2</v>
      </c>
      <c r="W26" s="15">
        <v>0.16532457879088203</v>
      </c>
      <c r="X26" s="12">
        <f t="shared" si="4"/>
        <v>2.3145441030723484E-3</v>
      </c>
      <c r="Y26" s="15">
        <v>3.2437309923517046</v>
      </c>
      <c r="Z26" s="12">
        <f>SUM(Y21:Y26)/6</f>
        <v>1.6836664919547519</v>
      </c>
      <c r="AA26" s="15">
        <v>30.38115314312066</v>
      </c>
      <c r="AB26" s="15">
        <v>10.597862556561086</v>
      </c>
      <c r="AC26" s="15">
        <v>0.89990488674248537</v>
      </c>
      <c r="AD26" s="12">
        <f t="shared" si="5"/>
        <v>11.497767443303571</v>
      </c>
      <c r="AE26" s="12">
        <f>SUM(AD21:AD26)/6</f>
        <v>11.252248163941294</v>
      </c>
      <c r="AF26" s="15">
        <v>0.92173220660619648</v>
      </c>
      <c r="AG26" s="15">
        <v>96.730556975084099</v>
      </c>
      <c r="AH26" s="15">
        <v>15.565938015608701</v>
      </c>
      <c r="AI26" s="15">
        <v>45.947091158729364</v>
      </c>
      <c r="AJ26" s="26">
        <f t="shared" si="3"/>
        <v>0.64325927622221113</v>
      </c>
      <c r="AK26" s="12">
        <f>SUM(AJ21:AJ26)/6</f>
        <v>0.48149384120569244</v>
      </c>
      <c r="AL26" s="17">
        <f t="shared" si="0"/>
        <v>0.68867151011513494</v>
      </c>
      <c r="AM26" s="26">
        <f>SUM(AL21:AL26)/6</f>
        <v>0.50506517209305901</v>
      </c>
      <c r="AN26" s="15">
        <v>6.2142452885324229</v>
      </c>
      <c r="AO26" s="1"/>
      <c r="AP26" s="55">
        <v>49.190822151081072</v>
      </c>
      <c r="AQ26" s="55">
        <v>0.68867151011513505</v>
      </c>
    </row>
    <row r="27" spans="1:43">
      <c r="A27" s="1" t="s">
        <v>40</v>
      </c>
      <c r="B27" s="1" t="s">
        <v>41</v>
      </c>
      <c r="C27" s="1" t="s">
        <v>0</v>
      </c>
      <c r="D27" s="3">
        <v>38888</v>
      </c>
      <c r="E27" s="1"/>
      <c r="F27" s="12">
        <v>3.4</v>
      </c>
      <c r="G27" s="12">
        <v>1.35</v>
      </c>
      <c r="H27" s="12">
        <f t="shared" si="1"/>
        <v>2.0499999999999998</v>
      </c>
      <c r="I27" s="12"/>
      <c r="J27" s="40"/>
      <c r="K27" s="9">
        <v>20.6</v>
      </c>
      <c r="L27" s="15">
        <f>(5.16+5.71)/2</f>
        <v>5.4350000000000005</v>
      </c>
      <c r="M27" s="18">
        <v>75</v>
      </c>
      <c r="N27" s="9"/>
      <c r="O27" s="1" t="s">
        <v>51</v>
      </c>
      <c r="P27" s="13">
        <v>2</v>
      </c>
      <c r="Q27" s="1" t="s">
        <v>46</v>
      </c>
      <c r="R27" s="1" t="s">
        <v>42</v>
      </c>
      <c r="S27" s="9">
        <v>29.9</v>
      </c>
      <c r="T27" s="14">
        <v>0.45</v>
      </c>
      <c r="U27" s="9">
        <v>1.3660684709962791</v>
      </c>
      <c r="V27" s="12">
        <f t="shared" si="2"/>
        <v>1.9124958593947909E-2</v>
      </c>
      <c r="W27" s="15">
        <v>0.18705763397371084</v>
      </c>
      <c r="X27" s="12">
        <f t="shared" si="4"/>
        <v>2.6188068756319519E-3</v>
      </c>
      <c r="Y27" s="12">
        <v>1.55312610496999</v>
      </c>
      <c r="Z27" s="12"/>
      <c r="AA27" s="12">
        <v>42.773011275843395</v>
      </c>
      <c r="AB27" s="12">
        <v>5.9592296385542154</v>
      </c>
      <c r="AC27" s="12">
        <v>4.3086796176957822</v>
      </c>
      <c r="AD27" s="12">
        <v>10.267909256249997</v>
      </c>
      <c r="AE27" s="12"/>
      <c r="AF27" s="12">
        <v>0.58037420178084242</v>
      </c>
      <c r="AG27" s="12">
        <v>94.546631234883989</v>
      </c>
      <c r="AH27" s="12">
        <v>13.884828415699859</v>
      </c>
      <c r="AI27" s="12">
        <v>56.657839691543252</v>
      </c>
      <c r="AJ27" s="26">
        <f t="shared" si="3"/>
        <v>0.79320975568160557</v>
      </c>
      <c r="AK27" s="12"/>
      <c r="AL27" s="17">
        <f t="shared" si="0"/>
        <v>0.81495352115118547</v>
      </c>
      <c r="AM27" s="26"/>
      <c r="AN27" s="12">
        <v>6.8093481895662595</v>
      </c>
      <c r="AO27" s="1"/>
      <c r="AP27" s="55">
        <v>58.210965796513243</v>
      </c>
      <c r="AQ27" s="55">
        <v>0.81495352115118547</v>
      </c>
    </row>
    <row r="28" spans="1:43">
      <c r="A28" s="1" t="s">
        <v>40</v>
      </c>
      <c r="B28" s="1" t="s">
        <v>41</v>
      </c>
      <c r="C28" s="1" t="s">
        <v>0</v>
      </c>
      <c r="D28" s="3">
        <v>38903</v>
      </c>
      <c r="E28" s="1"/>
      <c r="F28" s="12">
        <v>2.4</v>
      </c>
      <c r="G28" s="12">
        <v>1.35</v>
      </c>
      <c r="H28" s="12">
        <f t="shared" si="1"/>
        <v>1.0499999999999998</v>
      </c>
      <c r="I28" s="12"/>
      <c r="J28" s="40"/>
      <c r="K28" s="9">
        <v>23.5</v>
      </c>
      <c r="L28" s="15">
        <f>(5.62+5.74)/2</f>
        <v>5.68</v>
      </c>
      <c r="M28" s="18">
        <f>(78.2+79.2)/2</f>
        <v>78.7</v>
      </c>
      <c r="N28" s="9"/>
      <c r="O28" s="1" t="s">
        <v>49</v>
      </c>
      <c r="P28" s="13">
        <v>2</v>
      </c>
      <c r="Q28" s="1" t="s">
        <v>46</v>
      </c>
      <c r="R28" s="1" t="s">
        <v>52</v>
      </c>
      <c r="S28" s="9">
        <v>29.4</v>
      </c>
      <c r="T28" s="14">
        <v>0.3</v>
      </c>
      <c r="U28" s="9">
        <v>1.6219536249671265</v>
      </c>
      <c r="V28" s="12">
        <f t="shared" si="2"/>
        <v>2.2707350749539772E-2</v>
      </c>
      <c r="W28" s="15">
        <v>0.11324570273003035</v>
      </c>
      <c r="X28" s="12">
        <f t="shared" si="4"/>
        <v>1.5854398382204248E-3</v>
      </c>
      <c r="Y28" s="12">
        <v>1.7351993276971569</v>
      </c>
      <c r="Z28" s="12"/>
      <c r="AA28" s="12">
        <v>22.801095671329893</v>
      </c>
      <c r="AB28" s="12">
        <v>3.2611987341772144</v>
      </c>
      <c r="AC28" s="12">
        <v>7.1393878986352872</v>
      </c>
      <c r="AD28" s="12">
        <v>10.400586632812502</v>
      </c>
      <c r="AE28" s="12"/>
      <c r="AF28" s="12">
        <v>0.31355911443384887</v>
      </c>
      <c r="AG28" s="12">
        <v>98.238724387059818</v>
      </c>
      <c r="AH28" s="12">
        <v>12.508005595416344</v>
      </c>
      <c r="AI28" s="12">
        <v>35.309101266746239</v>
      </c>
      <c r="AJ28" s="26">
        <f t="shared" si="3"/>
        <v>0.49432741773444738</v>
      </c>
      <c r="AK28" s="12"/>
      <c r="AL28" s="17">
        <f t="shared" si="0"/>
        <v>0.51862020832220745</v>
      </c>
      <c r="AM28" s="26"/>
      <c r="AN28" s="12">
        <v>7.8540678318100658</v>
      </c>
      <c r="AO28" s="1"/>
      <c r="AP28" s="55">
        <v>37.044300594443399</v>
      </c>
      <c r="AQ28" s="55">
        <v>0.51862020832220757</v>
      </c>
    </row>
    <row r="29" spans="1:43">
      <c r="A29" s="1" t="s">
        <v>40</v>
      </c>
      <c r="B29" s="1" t="s">
        <v>41</v>
      </c>
      <c r="C29" s="1" t="s">
        <v>0</v>
      </c>
      <c r="D29" s="3">
        <v>38917</v>
      </c>
      <c r="E29" s="1"/>
      <c r="F29" s="12">
        <v>3.6</v>
      </c>
      <c r="G29" s="12">
        <v>1.7</v>
      </c>
      <c r="H29" s="12">
        <f t="shared" si="1"/>
        <v>1.9000000000000001</v>
      </c>
      <c r="I29" s="12"/>
      <c r="J29" s="40"/>
      <c r="K29" s="9">
        <v>25.1</v>
      </c>
      <c r="L29" s="15">
        <f>(5.53+5.64)/2</f>
        <v>5.585</v>
      </c>
      <c r="M29" s="18">
        <f>(78.2+81)/2</f>
        <v>79.599999999999994</v>
      </c>
      <c r="N29" s="9"/>
      <c r="O29" s="1" t="s">
        <v>47</v>
      </c>
      <c r="P29" s="13">
        <v>2</v>
      </c>
      <c r="Q29" s="1" t="s">
        <v>53</v>
      </c>
      <c r="R29" s="1" t="s">
        <v>42</v>
      </c>
      <c r="S29" s="9">
        <v>29.3</v>
      </c>
      <c r="T29" s="14">
        <v>0.45</v>
      </c>
      <c r="U29" s="9">
        <v>1.7691838766407764</v>
      </c>
      <c r="V29" s="12">
        <f t="shared" si="2"/>
        <v>2.476857427297087E-2</v>
      </c>
      <c r="W29" s="15">
        <v>0.53060813532017725</v>
      </c>
      <c r="X29" s="12">
        <f t="shared" si="4"/>
        <v>7.4285138944824814E-3</v>
      </c>
      <c r="Y29" s="12">
        <v>2.2997920119609536</v>
      </c>
      <c r="Z29" s="12"/>
      <c r="AA29" s="12">
        <v>23.52814256823498</v>
      </c>
      <c r="AB29" s="12">
        <v>6.0865664556962038</v>
      </c>
      <c r="AC29" s="12">
        <v>3.8389555755537996</v>
      </c>
      <c r="AD29" s="12">
        <v>9.9255220312500043</v>
      </c>
      <c r="AE29" s="12"/>
      <c r="AF29" s="12">
        <v>0.61322381196001152</v>
      </c>
      <c r="AG29" s="12">
        <v>48.164071865950007</v>
      </c>
      <c r="AH29" s="12">
        <v>7.3608798907680404</v>
      </c>
      <c r="AI29" s="12">
        <v>30.889022459003019</v>
      </c>
      <c r="AJ29" s="26">
        <f t="shared" si="3"/>
        <v>0.43244631442604226</v>
      </c>
      <c r="AK29" s="12"/>
      <c r="AL29" s="17">
        <f t="shared" si="0"/>
        <v>0.46464340259349568</v>
      </c>
      <c r="AM29" s="26"/>
      <c r="AN29" s="12">
        <v>6.5432492556164403</v>
      </c>
      <c r="AO29" s="1"/>
      <c r="AP29" s="55">
        <v>33.188814470963976</v>
      </c>
      <c r="AQ29" s="55">
        <v>0.46464340259349568</v>
      </c>
    </row>
    <row r="30" spans="1:43">
      <c r="A30" s="1" t="s">
        <v>40</v>
      </c>
      <c r="B30" s="1" t="s">
        <v>41</v>
      </c>
      <c r="C30" s="1" t="s">
        <v>0</v>
      </c>
      <c r="D30" s="3">
        <v>38931</v>
      </c>
      <c r="E30" s="34">
        <v>0.3263888888888889</v>
      </c>
      <c r="F30" s="12">
        <v>3.6</v>
      </c>
      <c r="G30" s="12">
        <v>1.35</v>
      </c>
      <c r="H30" s="12">
        <f t="shared" si="1"/>
        <v>2.25</v>
      </c>
      <c r="I30" s="12"/>
      <c r="J30" s="40"/>
      <c r="K30" s="9">
        <v>25.9</v>
      </c>
      <c r="L30" s="15">
        <f>(5.17+5.36)/2</f>
        <v>5.2650000000000006</v>
      </c>
      <c r="M30" s="18">
        <f>(76.6+80.2)/2</f>
        <v>78.400000000000006</v>
      </c>
      <c r="N30" s="9"/>
      <c r="O30" s="1" t="s">
        <v>42</v>
      </c>
      <c r="P30" s="13">
        <v>1</v>
      </c>
      <c r="Q30" s="1" t="s">
        <v>44</v>
      </c>
      <c r="R30" s="1" t="s">
        <v>42</v>
      </c>
      <c r="S30" s="9">
        <v>30.4</v>
      </c>
      <c r="T30" s="14">
        <v>0.56686268104105431</v>
      </c>
      <c r="U30" s="9">
        <v>2.0617484367484376</v>
      </c>
      <c r="V30" s="12">
        <f t="shared" si="2"/>
        <v>2.8864478114478127E-2</v>
      </c>
      <c r="W30" s="15">
        <v>0.66617000000000004</v>
      </c>
      <c r="X30" s="12">
        <f t="shared" si="4"/>
        <v>9.3263800000000004E-3</v>
      </c>
      <c r="Y30" s="12">
        <v>2.7279184367484377</v>
      </c>
      <c r="Z30" s="12"/>
      <c r="AA30" s="12">
        <v>40.483999242824396</v>
      </c>
      <c r="AB30" s="12">
        <v>2.2652110126582281</v>
      </c>
      <c r="AC30" s="12">
        <v>6.1996338201542711</v>
      </c>
      <c r="AD30" s="12">
        <v>8.4648448328124992</v>
      </c>
      <c r="AE30" s="12"/>
      <c r="AF30" s="12">
        <v>0.26760218969136107</v>
      </c>
      <c r="AG30" s="12">
        <v>54.917786711232345</v>
      </c>
      <c r="AH30" s="12">
        <v>8.4277355054603404</v>
      </c>
      <c r="AI30" s="12">
        <v>48.911734748284736</v>
      </c>
      <c r="AJ30" s="26">
        <f t="shared" si="3"/>
        <v>0.68476428647598631</v>
      </c>
      <c r="AK30" s="12"/>
      <c r="AL30" s="17">
        <f t="shared" si="0"/>
        <v>0.7229551445904645</v>
      </c>
      <c r="AM30" s="26"/>
      <c r="AN30" s="12">
        <v>6.5163158805412253</v>
      </c>
      <c r="AO30" s="1"/>
      <c r="AP30" s="55">
        <v>51.639653185033175</v>
      </c>
      <c r="AQ30" s="55">
        <v>0.7229551445904645</v>
      </c>
    </row>
    <row r="31" spans="1:43">
      <c r="A31" s="1" t="s">
        <v>40</v>
      </c>
      <c r="B31" s="1" t="s">
        <v>41</v>
      </c>
      <c r="C31" s="1" t="s">
        <v>0</v>
      </c>
      <c r="D31" s="3">
        <v>38945</v>
      </c>
      <c r="E31" s="34">
        <v>0.3298611111111111</v>
      </c>
      <c r="F31" s="12">
        <v>3.1</v>
      </c>
      <c r="G31" s="12">
        <v>1.4</v>
      </c>
      <c r="H31" s="12">
        <f t="shared" si="1"/>
        <v>1.7000000000000002</v>
      </c>
      <c r="I31" s="12"/>
      <c r="J31" s="40"/>
      <c r="K31" s="9">
        <v>22.3</v>
      </c>
      <c r="L31" s="15">
        <f>(5.3+5.44)/2</f>
        <v>5.37</v>
      </c>
      <c r="M31" s="18">
        <f>(69.5+73.5)/2</f>
        <v>71.5</v>
      </c>
      <c r="N31" s="9"/>
      <c r="O31" s="1" t="s">
        <v>42</v>
      </c>
      <c r="P31" s="13">
        <v>1</v>
      </c>
      <c r="Q31" s="1" t="s">
        <v>54</v>
      </c>
      <c r="R31" s="1" t="s">
        <v>42</v>
      </c>
      <c r="S31" s="9">
        <v>30.6</v>
      </c>
      <c r="T31" s="14">
        <v>0.45</v>
      </c>
      <c r="U31" s="9">
        <v>4.3046894976390586</v>
      </c>
      <c r="V31" s="12">
        <f t="shared" si="2"/>
        <v>6.0265652966946824E-2</v>
      </c>
      <c r="W31" s="12">
        <v>0.25473217881594851</v>
      </c>
      <c r="X31" s="12">
        <f t="shared" si="4"/>
        <v>3.5662505034232792E-3</v>
      </c>
      <c r="Y31" s="12">
        <v>4.5594216764550071</v>
      </c>
      <c r="Z31" s="12"/>
      <c r="AA31" s="12">
        <v>30.899919267598097</v>
      </c>
      <c r="AB31" s="12">
        <v>2.9263101265822788</v>
      </c>
      <c r="AC31" s="12">
        <v>2.444556904667722</v>
      </c>
      <c r="AD31" s="12">
        <v>5.3708670312500004</v>
      </c>
      <c r="AE31" s="12"/>
      <c r="AF31" s="12">
        <v>0.54484873849152393</v>
      </c>
      <c r="AG31" s="12">
        <v>57.949237238772533</v>
      </c>
      <c r="AH31" s="12">
        <v>8.3642147410843695</v>
      </c>
      <c r="AI31" s="12">
        <v>39.264134008682468</v>
      </c>
      <c r="AJ31" s="26">
        <f t="shared" si="3"/>
        <v>0.54969787612155452</v>
      </c>
      <c r="AK31" s="12"/>
      <c r="AL31" s="17">
        <f t="shared" si="0"/>
        <v>0.61352977959192456</v>
      </c>
      <c r="AM31" s="26"/>
      <c r="AN31" s="12">
        <v>6.9282340342280317</v>
      </c>
      <c r="AO31" s="1"/>
      <c r="AP31" s="55">
        <v>43.823555685137478</v>
      </c>
      <c r="AQ31" s="55">
        <v>0.61352977959192467</v>
      </c>
    </row>
    <row r="32" spans="1:43">
      <c r="A32" s="1" t="s">
        <v>40</v>
      </c>
      <c r="B32" s="1" t="s">
        <v>41</v>
      </c>
      <c r="C32" s="1" t="s">
        <v>0</v>
      </c>
      <c r="D32" s="3">
        <v>38973</v>
      </c>
      <c r="E32" s="34">
        <v>0.3263888888888889</v>
      </c>
      <c r="F32" s="12">
        <v>2.5</v>
      </c>
      <c r="G32" s="12">
        <v>1.85</v>
      </c>
      <c r="H32" s="12">
        <f t="shared" si="1"/>
        <v>0.64999999999999991</v>
      </c>
      <c r="I32" s="7">
        <f>SUM(G27:G32)/6</f>
        <v>1.5</v>
      </c>
      <c r="J32" s="40"/>
      <c r="K32" s="9">
        <v>17.600000000000001</v>
      </c>
      <c r="L32" s="15">
        <f>(7.09+7.25)/2</f>
        <v>7.17</v>
      </c>
      <c r="M32" s="18">
        <f>(91.9+95.7)/2</f>
        <v>93.800000000000011</v>
      </c>
      <c r="N32" s="11">
        <f>SUM(M27:M32)/6</f>
        <v>79.5</v>
      </c>
      <c r="O32" s="1" t="s">
        <v>47</v>
      </c>
      <c r="P32" s="13">
        <v>1</v>
      </c>
      <c r="Q32" s="1" t="s">
        <v>44</v>
      </c>
      <c r="R32" s="1" t="s">
        <v>42</v>
      </c>
      <c r="S32" s="9">
        <v>31.9</v>
      </c>
      <c r="T32" s="14">
        <v>0.67906074153154961</v>
      </c>
      <c r="U32" s="9">
        <v>0.64839952673317702</v>
      </c>
      <c r="V32" s="12">
        <f t="shared" si="2"/>
        <v>9.0775933742644789E-3</v>
      </c>
      <c r="W32" s="15">
        <v>0.1102123356926188</v>
      </c>
      <c r="X32" s="12">
        <f t="shared" si="4"/>
        <v>1.5429726996966633E-3</v>
      </c>
      <c r="Y32" s="12">
        <v>0.75861186242579581</v>
      </c>
      <c r="Z32" s="12">
        <f>SUM(Y27:Y32)/6</f>
        <v>2.2723449033762235</v>
      </c>
      <c r="AA32" s="12">
        <v>16.684863521890222</v>
      </c>
      <c r="AB32" s="12">
        <v>5.3624887974683544</v>
      </c>
      <c r="AC32" s="12">
        <v>1.8900070285733119</v>
      </c>
      <c r="AD32" s="12">
        <v>7.2524958260416668</v>
      </c>
      <c r="AE32" s="12">
        <f>SUM(AD27:AD32)/6</f>
        <v>8.6137042684027776</v>
      </c>
      <c r="AF32" s="12">
        <v>0.73939908772000529</v>
      </c>
      <c r="AG32" s="12">
        <v>79.990310167065701</v>
      </c>
      <c r="AH32" s="12">
        <v>10.567560543889359</v>
      </c>
      <c r="AI32" s="12">
        <v>27.252424065779579</v>
      </c>
      <c r="AJ32" s="26">
        <f t="shared" si="3"/>
        <v>0.38153393692091409</v>
      </c>
      <c r="AK32" s="12">
        <f>SUM(AJ27:AJ32)/6</f>
        <v>0.55599659789342504</v>
      </c>
      <c r="AL32" s="17">
        <f t="shared" si="0"/>
        <v>0.39215450299487525</v>
      </c>
      <c r="AM32" s="26">
        <f>SUM(AL27:AL32)/6</f>
        <v>0.58780942654069213</v>
      </c>
      <c r="AN32" s="12">
        <v>7.5694205710815368</v>
      </c>
      <c r="AO32" s="1"/>
      <c r="AP32" s="55">
        <v>28.011035928205374</v>
      </c>
      <c r="AQ32" s="55">
        <v>0.39215450299487525</v>
      </c>
    </row>
    <row r="33" spans="1:43">
      <c r="A33" s="1" t="s">
        <v>40</v>
      </c>
      <c r="B33" s="1" t="s">
        <v>41</v>
      </c>
      <c r="C33" s="1" t="s">
        <v>0</v>
      </c>
      <c r="D33" s="3">
        <v>39254</v>
      </c>
      <c r="E33" s="34"/>
      <c r="F33" s="12">
        <v>3.2</v>
      </c>
      <c r="G33" s="12">
        <v>1.8</v>
      </c>
      <c r="H33" s="12">
        <f t="shared" si="1"/>
        <v>1.4000000000000001</v>
      </c>
      <c r="I33" s="7"/>
      <c r="J33" s="40"/>
      <c r="K33" s="9">
        <v>19.8</v>
      </c>
      <c r="L33" s="15">
        <f>(6.97+7.06)/2</f>
        <v>7.0149999999999997</v>
      </c>
      <c r="M33" s="18"/>
      <c r="N33" s="11"/>
      <c r="O33" s="1" t="s">
        <v>42</v>
      </c>
      <c r="P33" s="13">
        <v>4</v>
      </c>
      <c r="Q33" s="1" t="s">
        <v>44</v>
      </c>
      <c r="R33" s="1" t="s">
        <v>42</v>
      </c>
      <c r="S33" s="9">
        <v>34</v>
      </c>
      <c r="T33" s="9">
        <v>0.59527445196367645</v>
      </c>
      <c r="U33" s="18">
        <v>0.4617104527669087</v>
      </c>
      <c r="V33" s="12">
        <f t="shared" si="2"/>
        <v>6.4639463387367218E-3</v>
      </c>
      <c r="W33" s="15">
        <v>0.05</v>
      </c>
      <c r="X33" s="12">
        <f t="shared" si="4"/>
        <v>7.000000000000001E-4</v>
      </c>
      <c r="Y33" s="15">
        <v>0.48671045276690872</v>
      </c>
      <c r="Z33" s="12"/>
      <c r="AA33" s="15">
        <v>26.482153366733495</v>
      </c>
      <c r="AB33" s="12">
        <v>5.6587564556962029</v>
      </c>
      <c r="AC33" s="12">
        <v>2.5446226109704626</v>
      </c>
      <c r="AD33" s="12">
        <v>8.2033790666666651</v>
      </c>
      <c r="AE33" s="12"/>
      <c r="AF33" s="12">
        <v>0.68980799371929602</v>
      </c>
      <c r="AG33" s="12">
        <v>54.24538336295123</v>
      </c>
      <c r="AH33" s="12">
        <v>7.4089814147681325</v>
      </c>
      <c r="AI33" s="12">
        <v>33.891134781501627</v>
      </c>
      <c r="AJ33" s="26">
        <f t="shared" si="3"/>
        <v>0.47447588694102277</v>
      </c>
      <c r="AK33" s="12"/>
      <c r="AL33" s="17">
        <f t="shared" si="0"/>
        <v>0.48128983327975949</v>
      </c>
      <c r="AM33" s="26"/>
      <c r="AN33" s="12">
        <v>7.3215709861041489</v>
      </c>
      <c r="AO33" s="1"/>
      <c r="AP33" s="55">
        <v>34.377845234268534</v>
      </c>
      <c r="AQ33" s="55">
        <v>0.48128983327975949</v>
      </c>
    </row>
    <row r="34" spans="1:43">
      <c r="A34" s="1" t="s">
        <v>40</v>
      </c>
      <c r="B34" s="1" t="s">
        <v>41</v>
      </c>
      <c r="C34" s="1" t="s">
        <v>0</v>
      </c>
      <c r="D34" s="3">
        <v>39282</v>
      </c>
      <c r="E34" s="34">
        <v>0.3611111111111111</v>
      </c>
      <c r="F34" s="12">
        <v>2</v>
      </c>
      <c r="G34" s="12">
        <v>1.65</v>
      </c>
      <c r="H34" s="12">
        <f t="shared" si="1"/>
        <v>0.35000000000000009</v>
      </c>
      <c r="I34" s="7"/>
      <c r="J34" s="40"/>
      <c r="K34" s="9">
        <v>24.3</v>
      </c>
      <c r="L34" s="15">
        <f>(4.92+5.18)/2</f>
        <v>5.05</v>
      </c>
      <c r="M34" s="18"/>
      <c r="N34" s="11"/>
      <c r="O34" s="1" t="s">
        <v>52</v>
      </c>
      <c r="P34" s="13">
        <v>1</v>
      </c>
      <c r="Q34" s="1" t="s">
        <v>46</v>
      </c>
      <c r="R34" s="1" t="s">
        <v>42</v>
      </c>
      <c r="S34" s="9">
        <v>30</v>
      </c>
      <c r="T34" s="9">
        <v>0.99504132231404963</v>
      </c>
      <c r="U34" s="18">
        <v>3.1583515380527833</v>
      </c>
      <c r="V34" s="12">
        <f t="shared" si="2"/>
        <v>4.421692153273897E-2</v>
      </c>
      <c r="W34" s="15">
        <v>0.44864701740267576</v>
      </c>
      <c r="X34" s="12">
        <f t="shared" si="4"/>
        <v>6.2810582436374609E-3</v>
      </c>
      <c r="Y34" s="15">
        <v>3.6069985554554593</v>
      </c>
      <c r="Z34" s="12"/>
      <c r="AA34" s="15">
        <v>33.93801353157113</v>
      </c>
      <c r="AB34" s="12">
        <v>7.2499078481012678</v>
      </c>
      <c r="AC34" s="12">
        <v>5.3073240185654003</v>
      </c>
      <c r="AD34" s="12">
        <v>12.557231866666669</v>
      </c>
      <c r="AE34" s="12"/>
      <c r="AF34" s="12">
        <v>0.57734920602575157</v>
      </c>
      <c r="AG34" s="12">
        <v>63.357907617400564</v>
      </c>
      <c r="AH34" s="12">
        <v>9.3705839470668391</v>
      </c>
      <c r="AI34" s="12">
        <v>43.308597478637971</v>
      </c>
      <c r="AJ34" s="26">
        <f t="shared" si="3"/>
        <v>0.60632036470093165</v>
      </c>
      <c r="AK34" s="12"/>
      <c r="AL34" s="17">
        <f t="shared" si="0"/>
        <v>0.65681834447730802</v>
      </c>
      <c r="AM34" s="26"/>
      <c r="AN34" s="12">
        <v>6.7613617225245308</v>
      </c>
      <c r="AO34" s="1"/>
      <c r="AP34" s="55">
        <v>46.915596034093433</v>
      </c>
      <c r="AQ34" s="55">
        <v>0.65681834447730802</v>
      </c>
    </row>
    <row r="35" spans="1:43">
      <c r="A35" s="1" t="s">
        <v>40</v>
      </c>
      <c r="B35" s="1" t="s">
        <v>41</v>
      </c>
      <c r="C35" s="1" t="s">
        <v>0</v>
      </c>
      <c r="D35" s="3">
        <v>39301</v>
      </c>
      <c r="E35" s="34">
        <v>0.38541666666666669</v>
      </c>
      <c r="F35" s="12">
        <v>3.4</v>
      </c>
      <c r="G35" s="12">
        <v>1.3</v>
      </c>
      <c r="H35" s="12">
        <f t="shared" si="1"/>
        <v>2.0999999999999996</v>
      </c>
      <c r="I35" s="7"/>
      <c r="J35" s="40"/>
      <c r="K35" s="9">
        <v>24.4</v>
      </c>
      <c r="L35" s="15">
        <f>(4.77+4.92)/2</f>
        <v>4.8449999999999998</v>
      </c>
      <c r="M35" s="18"/>
      <c r="N35" s="11"/>
      <c r="O35" s="1" t="s">
        <v>51</v>
      </c>
      <c r="P35" s="13"/>
      <c r="Q35" s="1" t="s">
        <v>53</v>
      </c>
      <c r="R35" s="1" t="s">
        <v>42</v>
      </c>
      <c r="S35" s="9">
        <v>30.8</v>
      </c>
      <c r="T35" s="9">
        <v>0.50821917808219186</v>
      </c>
      <c r="U35" s="18">
        <v>1.5997263345939676</v>
      </c>
      <c r="V35" s="12">
        <f t="shared" si="2"/>
        <v>2.2396168684315546E-2</v>
      </c>
      <c r="W35" s="15">
        <v>0.18810984810381248</v>
      </c>
      <c r="X35" s="12">
        <f t="shared" si="4"/>
        <v>2.6335378734533748E-3</v>
      </c>
      <c r="Y35" s="15">
        <v>1.78783618269778</v>
      </c>
      <c r="Z35" s="12"/>
      <c r="AA35" s="15">
        <v>44.20437446799675</v>
      </c>
      <c r="AB35" s="12">
        <v>10.934430253164557</v>
      </c>
      <c r="AC35" s="12">
        <v>0.68034078902294348</v>
      </c>
      <c r="AD35" s="12">
        <v>11.614771042187501</v>
      </c>
      <c r="AE35" s="12"/>
      <c r="AF35" s="12">
        <v>0.94142451998822951</v>
      </c>
      <c r="AG35" s="12">
        <v>81.653059713640829</v>
      </c>
      <c r="AH35" s="12">
        <v>11.551075556995155</v>
      </c>
      <c r="AI35" s="12">
        <v>55.755450024991902</v>
      </c>
      <c r="AJ35" s="26">
        <f t="shared" si="3"/>
        <v>0.78057630034988668</v>
      </c>
      <c r="AK35" s="12"/>
      <c r="AL35" s="17">
        <f t="shared" si="0"/>
        <v>0.80560600690765571</v>
      </c>
      <c r="AM35" s="26"/>
      <c r="AN35" s="12">
        <v>7.0688707134456399</v>
      </c>
      <c r="AO35" s="1"/>
      <c r="AP35" s="55">
        <v>57.543286207689682</v>
      </c>
      <c r="AQ35" s="55">
        <v>0.8056060069076556</v>
      </c>
    </row>
    <row r="36" spans="1:43">
      <c r="A36" s="1" t="s">
        <v>40</v>
      </c>
      <c r="B36" s="1" t="s">
        <v>41</v>
      </c>
      <c r="C36" s="1" t="s">
        <v>0</v>
      </c>
      <c r="D36" s="3">
        <v>39315</v>
      </c>
      <c r="E36" s="34">
        <v>0.34722222222222227</v>
      </c>
      <c r="F36" s="12">
        <v>3</v>
      </c>
      <c r="G36" s="12">
        <v>1.6</v>
      </c>
      <c r="H36" s="12">
        <f t="shared" si="1"/>
        <v>1.4</v>
      </c>
      <c r="I36" s="7"/>
      <c r="J36" s="40"/>
      <c r="K36" s="9">
        <v>21</v>
      </c>
      <c r="L36" s="15">
        <f>(6.64+6.77)/2</f>
        <v>6.7050000000000001</v>
      </c>
      <c r="M36" s="18"/>
      <c r="N36" s="11"/>
      <c r="O36" s="1" t="s">
        <v>42</v>
      </c>
      <c r="P36" s="13">
        <v>3</v>
      </c>
      <c r="Q36" s="1" t="s">
        <v>48</v>
      </c>
      <c r="R36" s="1" t="s">
        <v>42</v>
      </c>
      <c r="S36" s="9">
        <v>30.9</v>
      </c>
      <c r="T36" s="9">
        <v>0.6898445961119184</v>
      </c>
      <c r="U36" s="18">
        <v>0.64785447761194059</v>
      </c>
      <c r="V36" s="12">
        <f t="shared" si="2"/>
        <v>9.0699626865671686E-3</v>
      </c>
      <c r="W36" s="15">
        <v>0.05</v>
      </c>
      <c r="X36" s="12">
        <f t="shared" si="4"/>
        <v>7.000000000000001E-4</v>
      </c>
      <c r="Y36" s="15">
        <v>0.67285447761194062</v>
      </c>
      <c r="Z36" s="12"/>
      <c r="AA36" s="15">
        <v>23.757733757682178</v>
      </c>
      <c r="AB36" s="12">
        <v>2.7134813924050629</v>
      </c>
      <c r="AC36" s="12">
        <v>1.3741964497824368</v>
      </c>
      <c r="AD36" s="12">
        <v>4.0876778421874995</v>
      </c>
      <c r="AE36" s="12"/>
      <c r="AF36" s="12">
        <v>0.66381977669574799</v>
      </c>
      <c r="AG36" s="12">
        <v>49.5842494778787</v>
      </c>
      <c r="AH36" s="12">
        <v>7.1982295276466646</v>
      </c>
      <c r="AI36" s="12">
        <v>30.955963285328842</v>
      </c>
      <c r="AJ36" s="26">
        <f t="shared" si="3"/>
        <v>0.4333834859946038</v>
      </c>
      <c r="AK36" s="12"/>
      <c r="AL36" s="17">
        <f t="shared" si="0"/>
        <v>0.442803448681171</v>
      </c>
      <c r="AM36" s="26"/>
      <c r="AN36" s="12">
        <v>6.8883951654274913</v>
      </c>
      <c r="AO36" s="1"/>
      <c r="AP36" s="55">
        <v>31.628817762940784</v>
      </c>
      <c r="AQ36" s="55">
        <v>0.442803448681171</v>
      </c>
    </row>
    <row r="37" spans="1:43">
      <c r="A37" s="1" t="s">
        <v>40</v>
      </c>
      <c r="B37" s="1" t="s">
        <v>41</v>
      </c>
      <c r="C37" s="1" t="s">
        <v>0</v>
      </c>
      <c r="D37" s="3">
        <v>39343</v>
      </c>
      <c r="E37" s="34"/>
      <c r="F37" s="12">
        <v>2.2999999999999998</v>
      </c>
      <c r="G37" s="12">
        <v>1.55</v>
      </c>
      <c r="H37" s="12">
        <f t="shared" si="1"/>
        <v>0.74999999999999978</v>
      </c>
      <c r="I37" s="7"/>
      <c r="J37" s="40"/>
      <c r="K37" s="9">
        <v>18.2</v>
      </c>
      <c r="L37" s="15">
        <f>(7.38+7.58)/2</f>
        <v>7.48</v>
      </c>
      <c r="M37" s="18"/>
      <c r="N37" s="11"/>
      <c r="O37" s="1" t="s">
        <v>42</v>
      </c>
      <c r="P37" s="13">
        <v>2</v>
      </c>
      <c r="Q37" s="1" t="s">
        <v>43</v>
      </c>
      <c r="R37" s="1" t="s">
        <v>42</v>
      </c>
      <c r="S37" s="9">
        <v>29.7</v>
      </c>
      <c r="T37" s="9">
        <v>0.89862613196801777</v>
      </c>
      <c r="U37" s="18">
        <v>0.62860838379681372</v>
      </c>
      <c r="V37" s="12">
        <f t="shared" si="2"/>
        <v>8.8005173731553928E-3</v>
      </c>
      <c r="W37" s="15">
        <v>0.05</v>
      </c>
      <c r="X37" s="12">
        <f t="shared" si="4"/>
        <v>7.000000000000001E-4</v>
      </c>
      <c r="Y37" s="15">
        <v>0.65360838379681374</v>
      </c>
      <c r="Z37" s="12"/>
      <c r="AA37" s="15">
        <v>19.848696209273292</v>
      </c>
      <c r="AB37" s="12">
        <v>2.7016424683544304</v>
      </c>
      <c r="AC37" s="12">
        <v>1.3935175738330696</v>
      </c>
      <c r="AD37" s="12">
        <v>4.0951600421874996</v>
      </c>
      <c r="AE37" s="12">
        <f>SUM(AD33:AD37)/5</f>
        <v>8.1116439719791664</v>
      </c>
      <c r="AF37" s="12">
        <v>0.65971596726932846</v>
      </c>
      <c r="AG37" s="12">
        <v>46.849325501552997</v>
      </c>
      <c r="AH37" s="12">
        <v>6.7913179261085803</v>
      </c>
      <c r="AI37" s="12">
        <v>26.640014135381872</v>
      </c>
      <c r="AJ37" s="26">
        <f t="shared" si="3"/>
        <v>0.37296019789534623</v>
      </c>
      <c r="AK37" s="12"/>
      <c r="AL37" s="17">
        <f t="shared" si="0"/>
        <v>0.3821107152685016</v>
      </c>
      <c r="AM37" s="26">
        <f>SUM(AL33:AL37)/5</f>
        <v>0.55372566972287918</v>
      </c>
      <c r="AN37" s="12">
        <v>6.8984144184216722</v>
      </c>
      <c r="AO37" s="1"/>
      <c r="AP37" s="55">
        <v>27.293622519178687</v>
      </c>
      <c r="AQ37" s="55">
        <v>0.3821107152685016</v>
      </c>
    </row>
    <row r="38" spans="1:43">
      <c r="A38" s="1" t="s">
        <v>40</v>
      </c>
      <c r="B38" s="1" t="s">
        <v>41</v>
      </c>
      <c r="C38" s="1" t="s">
        <v>0</v>
      </c>
      <c r="D38" s="3">
        <v>39638</v>
      </c>
      <c r="E38" s="34"/>
      <c r="F38" s="15">
        <v>2.2000000000000002</v>
      </c>
      <c r="G38" s="15">
        <v>1.3</v>
      </c>
      <c r="H38" s="12">
        <f t="shared" si="1"/>
        <v>0.90000000000000013</v>
      </c>
      <c r="I38" s="7"/>
      <c r="J38" s="1">
        <v>1.1000000000000001</v>
      </c>
      <c r="K38" s="18">
        <v>25.3</v>
      </c>
      <c r="L38" s="15">
        <v>3.9892958327901065</v>
      </c>
      <c r="M38" s="18">
        <v>100.1</v>
      </c>
      <c r="N38" s="11"/>
      <c r="O38" s="2" t="s">
        <v>55</v>
      </c>
      <c r="P38" s="41">
        <v>3</v>
      </c>
      <c r="Q38" s="42" t="s">
        <v>54</v>
      </c>
      <c r="R38" s="42" t="s">
        <v>55</v>
      </c>
      <c r="S38" s="18">
        <v>31.5</v>
      </c>
      <c r="T38" s="9">
        <v>0.81917550598021871</v>
      </c>
      <c r="U38" s="9">
        <v>3.8115843407253225</v>
      </c>
      <c r="V38" s="12">
        <f t="shared" si="2"/>
        <v>5.3362180770154519E-2</v>
      </c>
      <c r="W38" s="15">
        <v>0.27060706527952438</v>
      </c>
      <c r="X38" s="12">
        <f t="shared" si="4"/>
        <v>3.7884989139133417E-3</v>
      </c>
      <c r="Y38" s="12">
        <v>4.0821914060048465</v>
      </c>
      <c r="Z38" s="12"/>
      <c r="AA38" s="15">
        <v>26.165024954552667</v>
      </c>
      <c r="AB38" s="36">
        <v>5.0072417721518985</v>
      </c>
      <c r="AC38" s="36">
        <v>4.9400082486814352</v>
      </c>
      <c r="AD38" s="36">
        <v>9.9472500208333337</v>
      </c>
      <c r="AE38" s="12"/>
      <c r="AF38" s="36">
        <v>0.5033795030450452</v>
      </c>
      <c r="AG38" s="15">
        <v>82.262296173301237</v>
      </c>
      <c r="AH38" s="15">
        <v>11.714876867147522</v>
      </c>
      <c r="AI38" s="15">
        <v>37.879901821700187</v>
      </c>
      <c r="AJ38" s="26">
        <f t="shared" si="3"/>
        <v>0.5303186255038026</v>
      </c>
      <c r="AK38" s="12"/>
      <c r="AL38" s="17">
        <f t="shared" si="0"/>
        <v>0.58746930518787044</v>
      </c>
      <c r="AM38" s="26"/>
      <c r="AN38" s="15">
        <v>7.0220367747946666</v>
      </c>
      <c r="AO38" s="1"/>
      <c r="AP38" s="58">
        <v>41.962093227705033</v>
      </c>
      <c r="AQ38" s="55">
        <v>0.58746930518787044</v>
      </c>
    </row>
    <row r="39" spans="1:43">
      <c r="A39" s="1" t="s">
        <v>40</v>
      </c>
      <c r="B39" s="1" t="s">
        <v>41</v>
      </c>
      <c r="C39" s="1" t="s">
        <v>0</v>
      </c>
      <c r="D39" s="3">
        <v>39667</v>
      </c>
      <c r="E39" s="34"/>
      <c r="F39" s="15">
        <v>2</v>
      </c>
      <c r="G39" s="15">
        <v>1.65</v>
      </c>
      <c r="H39" s="12">
        <f t="shared" si="1"/>
        <v>0.35000000000000009</v>
      </c>
      <c r="I39" s="7"/>
      <c r="J39" s="1">
        <v>1</v>
      </c>
      <c r="K39" s="18">
        <v>21.9</v>
      </c>
      <c r="L39" s="15">
        <v>4.5456060279873967</v>
      </c>
      <c r="M39" s="18">
        <v>100</v>
      </c>
      <c r="N39" s="11"/>
      <c r="O39" s="42" t="s">
        <v>56</v>
      </c>
      <c r="P39" s="41">
        <v>2</v>
      </c>
      <c r="Q39" s="42" t="s">
        <v>50</v>
      </c>
      <c r="R39" s="42" t="s">
        <v>57</v>
      </c>
      <c r="S39" s="18">
        <v>31.2</v>
      </c>
      <c r="T39" s="9">
        <v>1.0268510144349574</v>
      </c>
      <c r="U39" s="9">
        <v>0.83091325945739336</v>
      </c>
      <c r="V39" s="12">
        <f t="shared" si="2"/>
        <v>1.1632785632403508E-2</v>
      </c>
      <c r="W39" s="15">
        <v>0.66982965588201659</v>
      </c>
      <c r="X39" s="12">
        <f t="shared" si="4"/>
        <v>9.3776151823482326E-3</v>
      </c>
      <c r="Y39" s="12">
        <v>1.5007429153394098</v>
      </c>
      <c r="Z39" s="12"/>
      <c r="AA39" s="15">
        <v>25.906496891876955</v>
      </c>
      <c r="AB39" s="36">
        <v>5.2986265822784784</v>
      </c>
      <c r="AC39" s="19">
        <v>3.3273274802215194</v>
      </c>
      <c r="AD39" s="36">
        <v>8.6259540624999982</v>
      </c>
      <c r="AE39" s="12"/>
      <c r="AF39" s="19">
        <v>0.61426556922131526</v>
      </c>
      <c r="AG39" s="15">
        <v>70.979582976936939</v>
      </c>
      <c r="AH39" s="15">
        <v>10.838486312504108</v>
      </c>
      <c r="AI39" s="15">
        <v>36.744983204381064</v>
      </c>
      <c r="AJ39" s="26">
        <f t="shared" si="3"/>
        <v>0.51442976486133496</v>
      </c>
      <c r="AK39" s="12"/>
      <c r="AL39" s="17">
        <f t="shared" si="0"/>
        <v>0.53544016567608665</v>
      </c>
      <c r="AM39" s="26"/>
      <c r="AN39" s="15">
        <v>6.5488464837612481</v>
      </c>
      <c r="AO39" s="1"/>
      <c r="AP39" s="58">
        <v>38.245726119720473</v>
      </c>
      <c r="AQ39" s="55">
        <v>0.53544016567608665</v>
      </c>
    </row>
    <row r="40" spans="1:43">
      <c r="A40" s="1" t="s">
        <v>40</v>
      </c>
      <c r="B40" s="1" t="s">
        <v>41</v>
      </c>
      <c r="C40" s="1" t="s">
        <v>0</v>
      </c>
      <c r="D40" s="3">
        <v>39686</v>
      </c>
      <c r="E40" s="34"/>
      <c r="F40" s="15">
        <v>2.8</v>
      </c>
      <c r="G40" s="15">
        <v>1.3</v>
      </c>
      <c r="H40" s="12">
        <f t="shared" si="1"/>
        <v>1.4999999999999998</v>
      </c>
      <c r="I40" s="7"/>
      <c r="J40" s="1">
        <v>1.4</v>
      </c>
      <c r="K40" s="18">
        <v>22.7</v>
      </c>
      <c r="L40" s="15">
        <v>4.6813493928655836</v>
      </c>
      <c r="M40" s="18">
        <v>99.4</v>
      </c>
      <c r="N40" s="11"/>
      <c r="O40" s="42" t="s">
        <v>55</v>
      </c>
      <c r="P40" s="41">
        <v>2</v>
      </c>
      <c r="Q40" s="42" t="s">
        <v>53</v>
      </c>
      <c r="R40" s="42" t="s">
        <v>55</v>
      </c>
      <c r="S40" s="18">
        <v>31.3</v>
      </c>
      <c r="T40" s="9">
        <v>0.76284625975457809</v>
      </c>
      <c r="U40" s="9">
        <v>1.2686019226402236</v>
      </c>
      <c r="V40" s="12">
        <f t="shared" si="2"/>
        <v>1.776042691696313E-2</v>
      </c>
      <c r="W40" s="15">
        <v>1.0495000000000001</v>
      </c>
      <c r="X40" s="12">
        <f t="shared" si="4"/>
        <v>1.4693000000000001E-2</v>
      </c>
      <c r="Y40" s="12">
        <v>2.3181019226402237</v>
      </c>
      <c r="Z40" s="12"/>
      <c r="AA40" s="15">
        <v>25.044296147359777</v>
      </c>
      <c r="AB40" s="43">
        <v>5.6395196202531643</v>
      </c>
      <c r="AC40" s="44">
        <v>0.64866087974683584</v>
      </c>
      <c r="AD40" s="36">
        <v>6.2881805000000002</v>
      </c>
      <c r="AE40" s="12"/>
      <c r="AF40" s="44">
        <v>0.89684442427394762</v>
      </c>
      <c r="AG40" s="15">
        <v>64.526884207845583</v>
      </c>
      <c r="AH40" s="15">
        <v>8.9761563838868508</v>
      </c>
      <c r="AI40" s="15">
        <v>34.020452531246626</v>
      </c>
      <c r="AJ40" s="26">
        <f t="shared" si="3"/>
        <v>0.47628633543745275</v>
      </c>
      <c r="AK40" s="12"/>
      <c r="AL40" s="17">
        <f t="shared" si="0"/>
        <v>0.50873976235441587</v>
      </c>
      <c r="AM40" s="26"/>
      <c r="AN40" s="15">
        <v>7.188698753475169</v>
      </c>
      <c r="AO40" s="1"/>
      <c r="AP40" s="58">
        <v>36.33855445388685</v>
      </c>
      <c r="AQ40" s="55">
        <v>0.50873976235441587</v>
      </c>
    </row>
    <row r="41" spans="1:43">
      <c r="A41" s="1" t="s">
        <v>40</v>
      </c>
      <c r="B41" s="1" t="s">
        <v>41</v>
      </c>
      <c r="C41" s="1" t="s">
        <v>0</v>
      </c>
      <c r="D41" s="3">
        <v>39700</v>
      </c>
      <c r="E41" s="34"/>
      <c r="F41" s="15">
        <v>2.2000000000000002</v>
      </c>
      <c r="G41" s="15">
        <v>1.3</v>
      </c>
      <c r="H41" s="12">
        <f t="shared" si="1"/>
        <v>0.90000000000000013</v>
      </c>
      <c r="I41" s="7">
        <f>SUM(G33:G41)/9</f>
        <v>1.4944444444444445</v>
      </c>
      <c r="J41" s="1">
        <v>1.1000000000000001</v>
      </c>
      <c r="K41" s="18">
        <v>22.6</v>
      </c>
      <c r="L41" s="15">
        <v>5.1831616397902902</v>
      </c>
      <c r="M41" s="18">
        <v>100.6</v>
      </c>
      <c r="N41" s="11">
        <f>SUM(M33:M41)/4</f>
        <v>100.02500000000001</v>
      </c>
      <c r="O41" s="42" t="s">
        <v>55</v>
      </c>
      <c r="P41" s="41">
        <v>4</v>
      </c>
      <c r="Q41" s="42" t="s">
        <v>58</v>
      </c>
      <c r="R41" s="42" t="s">
        <v>55</v>
      </c>
      <c r="S41" s="18">
        <v>31.1</v>
      </c>
      <c r="T41" s="9">
        <v>0.35</v>
      </c>
      <c r="U41" s="9">
        <v>1.904713843330657</v>
      </c>
      <c r="V41" s="12">
        <f t="shared" si="2"/>
        <v>2.6665993806629196E-2</v>
      </c>
      <c r="W41" s="15">
        <v>0.1368</v>
      </c>
      <c r="X41" s="12">
        <f t="shared" si="4"/>
        <v>1.9152000000000001E-3</v>
      </c>
      <c r="Y41" s="12">
        <v>2.041513843330657</v>
      </c>
      <c r="Z41" s="7">
        <f>SUM(Y33:Y41)/9</f>
        <v>1.9056175710715602</v>
      </c>
      <c r="AA41" s="15">
        <v>23.093744716669342</v>
      </c>
      <c r="AB41" s="36">
        <v>6.2764962750000004</v>
      </c>
      <c r="AC41" s="36">
        <v>9.1300785924687524</v>
      </c>
      <c r="AD41" s="36">
        <v>15.406574867468752</v>
      </c>
      <c r="AE41" s="7">
        <f>SUM(AD38:AD41)/4</f>
        <v>10.06698986270052</v>
      </c>
      <c r="AF41" s="36">
        <v>0.407390761995577</v>
      </c>
      <c r="AG41" s="15">
        <v>108.19641052989725</v>
      </c>
      <c r="AH41" s="15">
        <v>13.305046447740747</v>
      </c>
      <c r="AI41" s="15">
        <v>36.398791164410085</v>
      </c>
      <c r="AJ41" s="26">
        <f t="shared" si="3"/>
        <v>0.50958307630174116</v>
      </c>
      <c r="AK41" s="7">
        <f>SUM(AJ33:AJ41)/9</f>
        <v>0.52203711533179142</v>
      </c>
      <c r="AL41" s="17">
        <f t="shared" si="0"/>
        <v>0.53816427010837042</v>
      </c>
      <c r="AM41" s="17">
        <f>SUM(AL38:AL41)/4</f>
        <v>0.54245337583168585</v>
      </c>
      <c r="AN41" s="15">
        <v>8.1319829250404059</v>
      </c>
      <c r="AO41" s="1"/>
      <c r="AP41" s="58">
        <v>38.44030500774074</v>
      </c>
      <c r="AQ41" s="55">
        <v>0.53816427010837042</v>
      </c>
    </row>
    <row r="42" spans="1:43">
      <c r="A42" s="1" t="s">
        <v>40</v>
      </c>
      <c r="B42" s="1" t="s">
        <v>41</v>
      </c>
      <c r="C42" s="1" t="s">
        <v>0</v>
      </c>
      <c r="D42" s="3">
        <v>40008</v>
      </c>
      <c r="E42" s="34">
        <v>0.35416666666666669</v>
      </c>
      <c r="F42" s="1">
        <v>2.4</v>
      </c>
      <c r="G42" s="1">
        <v>1.81</v>
      </c>
      <c r="H42" s="12">
        <f t="shared" si="1"/>
        <v>0.58999999999999986</v>
      </c>
      <c r="I42" s="7"/>
      <c r="J42" s="1"/>
      <c r="K42" s="9">
        <v>20.9</v>
      </c>
      <c r="L42" s="12">
        <v>4.9737221178360196</v>
      </c>
      <c r="M42" s="1">
        <v>98.4</v>
      </c>
      <c r="N42" s="11"/>
      <c r="O42" s="42"/>
      <c r="P42" s="1">
        <v>2</v>
      </c>
      <c r="Q42" s="1" t="s">
        <v>54</v>
      </c>
      <c r="R42" s="1" t="s">
        <v>55</v>
      </c>
      <c r="S42" s="18">
        <v>30.3</v>
      </c>
      <c r="T42" s="9">
        <v>0.4</v>
      </c>
      <c r="U42" s="9">
        <v>0.55866135702251452</v>
      </c>
      <c r="V42" s="12">
        <f t="shared" si="2"/>
        <v>7.8212589983152041E-3</v>
      </c>
      <c r="W42" s="15">
        <v>0.10592172268296235</v>
      </c>
      <c r="X42" s="12">
        <f t="shared" si="4"/>
        <v>1.4829041175614729E-3</v>
      </c>
      <c r="Y42" s="12">
        <v>0.66458307970547681</v>
      </c>
      <c r="Z42" s="7"/>
      <c r="AA42" s="15">
        <v>13.970852583921676</v>
      </c>
      <c r="AB42" s="45">
        <v>7.2569772151898757</v>
      </c>
      <c r="AC42" s="45">
        <v>6.1318899566851215</v>
      </c>
      <c r="AD42" s="12">
        <v>13.388867171874997</v>
      </c>
      <c r="AE42" s="7"/>
      <c r="AF42" s="46">
        <v>0.54201577489946806</v>
      </c>
      <c r="AG42" s="15">
        <v>68.38786277117552</v>
      </c>
      <c r="AH42" s="15">
        <v>10.254095596649178</v>
      </c>
      <c r="AI42" s="15">
        <v>24.224948180570856</v>
      </c>
      <c r="AJ42" s="26">
        <f t="shared" si="3"/>
        <v>0.33914927452799198</v>
      </c>
      <c r="AK42" s="7"/>
      <c r="AL42" s="17">
        <f t="shared" si="0"/>
        <v>0.3484534376438686</v>
      </c>
      <c r="AM42" s="17"/>
      <c r="AN42" s="15">
        <v>6.6693217482313347</v>
      </c>
      <c r="AO42" s="1"/>
      <c r="AP42" s="58">
        <v>0.66458307970547681</v>
      </c>
      <c r="AQ42" s="55">
        <v>9.3041631158766753E-3</v>
      </c>
    </row>
    <row r="43" spans="1:43">
      <c r="A43" s="1" t="s">
        <v>40</v>
      </c>
      <c r="B43" s="1" t="s">
        <v>41</v>
      </c>
      <c r="C43" s="1" t="s">
        <v>0</v>
      </c>
      <c r="D43" s="3">
        <v>40022</v>
      </c>
      <c r="E43" s="34">
        <v>0.33333333333333331</v>
      </c>
      <c r="F43" s="1">
        <v>3</v>
      </c>
      <c r="G43" s="1">
        <v>1.2</v>
      </c>
      <c r="H43" s="12">
        <f t="shared" si="1"/>
        <v>1.8</v>
      </c>
      <c r="I43" s="7"/>
      <c r="J43" s="1"/>
      <c r="K43" s="9">
        <v>24</v>
      </c>
      <c r="L43" s="12">
        <v>4.7267791750439105</v>
      </c>
      <c r="M43" s="1">
        <v>99.6</v>
      </c>
      <c r="N43" s="11"/>
      <c r="O43" s="42"/>
      <c r="P43" s="1">
        <v>2</v>
      </c>
      <c r="Q43" s="1" t="s">
        <v>46</v>
      </c>
      <c r="R43" s="1" t="s">
        <v>55</v>
      </c>
      <c r="S43" s="18">
        <v>29.6</v>
      </c>
      <c r="T43" s="9">
        <v>0.63350724637681144</v>
      </c>
      <c r="U43" s="9">
        <v>1.00700096761341</v>
      </c>
      <c r="V43" s="12">
        <f t="shared" si="2"/>
        <v>1.409801354658774E-2</v>
      </c>
      <c r="W43" s="15">
        <v>0.47907172995780589</v>
      </c>
      <c r="X43" s="12">
        <f t="shared" si="4"/>
        <v>6.7070042194092823E-3</v>
      </c>
      <c r="Y43" s="12">
        <v>1.486072697571216</v>
      </c>
      <c r="Z43" s="7"/>
      <c r="AA43" s="15">
        <v>35.11934776848755</v>
      </c>
      <c r="AB43" s="45">
        <v>3.2124835443037982</v>
      </c>
      <c r="AC43" s="45">
        <v>0.97859914840453599</v>
      </c>
      <c r="AD43" s="12">
        <v>4.191082692708334</v>
      </c>
      <c r="AE43" s="7"/>
      <c r="AF43" s="47">
        <v>0.76650445239195419</v>
      </c>
      <c r="AG43" s="15">
        <v>77.235219762741636</v>
      </c>
      <c r="AH43" s="15">
        <v>11.616037212843443</v>
      </c>
      <c r="AI43" s="15">
        <v>46.735384981330995</v>
      </c>
      <c r="AJ43" s="26">
        <f t="shared" si="3"/>
        <v>0.65429538973863399</v>
      </c>
      <c r="AK43" s="7"/>
      <c r="AL43" s="17">
        <f t="shared" si="0"/>
        <v>0.67510040750463096</v>
      </c>
      <c r="AM43" s="17"/>
      <c r="AN43" s="15">
        <v>6.6490162133214739</v>
      </c>
      <c r="AO43" s="1"/>
      <c r="AP43" s="58">
        <v>1.486072697571216</v>
      </c>
      <c r="AQ43" s="55">
        <v>2.0805017765997025E-2</v>
      </c>
    </row>
    <row r="44" spans="1:43">
      <c r="A44" s="1" t="s">
        <v>40</v>
      </c>
      <c r="B44" s="1" t="s">
        <v>41</v>
      </c>
      <c r="C44" s="1" t="s">
        <v>0</v>
      </c>
      <c r="D44" s="3">
        <v>40037</v>
      </c>
      <c r="E44" s="34">
        <v>0.33333333333333331</v>
      </c>
      <c r="F44" s="1">
        <v>3.2</v>
      </c>
      <c r="G44" s="1">
        <v>1.2</v>
      </c>
      <c r="H44" s="12">
        <f t="shared" si="1"/>
        <v>2</v>
      </c>
      <c r="K44" s="9">
        <v>24.7</v>
      </c>
      <c r="L44" s="12">
        <v>4.8215219814838299</v>
      </c>
      <c r="M44" s="1">
        <v>99.8</v>
      </c>
      <c r="P44" s="1">
        <v>1</v>
      </c>
      <c r="Q44" s="1" t="s">
        <v>48</v>
      </c>
      <c r="R44" s="1" t="s">
        <v>55</v>
      </c>
      <c r="S44" s="18">
        <v>30.6</v>
      </c>
      <c r="T44" s="9">
        <v>0.73047868844210062</v>
      </c>
      <c r="U44" s="9">
        <v>0.82938467978233588</v>
      </c>
      <c r="V44" s="12">
        <f t="shared" si="2"/>
        <v>1.1611385516952703E-2</v>
      </c>
      <c r="W44" s="15">
        <v>0.05</v>
      </c>
      <c r="X44" s="12">
        <f t="shared" si="4"/>
        <v>7.000000000000001E-4</v>
      </c>
      <c r="Y44" s="12">
        <v>0.8543846797823359</v>
      </c>
      <c r="AA44" s="15">
        <v>23.911180160217665</v>
      </c>
      <c r="AB44" s="45">
        <v>2.6115873417721525</v>
      </c>
      <c r="AC44" s="45">
        <v>1.4030013509361818</v>
      </c>
      <c r="AD44" s="12">
        <v>4.0145886927083341</v>
      </c>
      <c r="AF44" s="47">
        <v>0.65052426080797721</v>
      </c>
      <c r="AG44" s="15">
        <v>49.882230476272994</v>
      </c>
      <c r="AH44" s="15">
        <v>7.5710332866290875</v>
      </c>
      <c r="AI44" s="15">
        <v>31.482213446846753</v>
      </c>
      <c r="AJ44" s="26">
        <f t="shared" si="3"/>
        <v>0.44075098825585457</v>
      </c>
      <c r="AL44" s="17">
        <f t="shared" si="0"/>
        <v>0.45271237377280721</v>
      </c>
      <c r="AN44" s="15">
        <v>6.5885630914300819</v>
      </c>
      <c r="AP44" s="55">
        <v>0.8543846797823359</v>
      </c>
      <c r="AQ44" s="55">
        <v>1.1961385516952703E-2</v>
      </c>
    </row>
    <row r="45" spans="1:43">
      <c r="A45" s="1" t="s">
        <v>40</v>
      </c>
      <c r="B45" s="1" t="s">
        <v>41</v>
      </c>
      <c r="C45" s="1" t="s">
        <v>0</v>
      </c>
      <c r="D45" s="3">
        <v>40051</v>
      </c>
      <c r="E45" s="34">
        <v>0.33333333333333331</v>
      </c>
      <c r="F45" s="1">
        <v>2.2000000000000002</v>
      </c>
      <c r="G45" s="1">
        <v>1.5</v>
      </c>
      <c r="H45" s="12">
        <f t="shared" si="1"/>
        <v>0.70000000000000018</v>
      </c>
      <c r="K45" s="9">
        <v>25.7</v>
      </c>
      <c r="L45" s="12">
        <v>4.332330777832059</v>
      </c>
      <c r="M45" s="1">
        <v>99.9</v>
      </c>
      <c r="P45" s="1">
        <v>4</v>
      </c>
      <c r="Q45" s="1" t="s">
        <v>46</v>
      </c>
      <c r="R45" s="1" t="s">
        <v>55</v>
      </c>
      <c r="S45" s="18">
        <v>30.9</v>
      </c>
      <c r="T45" s="9">
        <v>1.0604355782975663</v>
      </c>
      <c r="U45" s="9">
        <v>0.19021927094141322</v>
      </c>
      <c r="V45" s="12">
        <f t="shared" si="2"/>
        <v>2.663069793179785E-3</v>
      </c>
      <c r="W45" s="15">
        <v>0.41329841408409723</v>
      </c>
      <c r="X45" s="12">
        <f t="shared" si="4"/>
        <v>5.7861777971773614E-3</v>
      </c>
      <c r="Y45" s="12">
        <v>0.6035176850255104</v>
      </c>
      <c r="Z45" s="7">
        <f>SUM(Y42:Y45)/4</f>
        <v>0.90213953552113479</v>
      </c>
      <c r="AA45" s="15">
        <v>22.751522844974488</v>
      </c>
      <c r="AB45" s="45">
        <v>2.3689177215189874</v>
      </c>
      <c r="AC45" s="45">
        <v>1.3778869711893462</v>
      </c>
      <c r="AD45" s="12">
        <v>3.7468046927083334</v>
      </c>
      <c r="AE45" s="7">
        <f>SUM(AD42:AD45)/4</f>
        <v>6.3353358124999994</v>
      </c>
      <c r="AF45" s="47">
        <v>0.632250121317811</v>
      </c>
      <c r="AG45" s="15">
        <v>45.232978996450413</v>
      </c>
      <c r="AH45" s="15">
        <v>7.056531007809955</v>
      </c>
      <c r="AI45" s="15">
        <v>29.808053852784443</v>
      </c>
      <c r="AJ45" s="26">
        <f t="shared" si="3"/>
        <v>0.41731275393898221</v>
      </c>
      <c r="AK45" s="7">
        <f>SUM(AJ42:AJ45)/4</f>
        <v>0.46287710161536566</v>
      </c>
      <c r="AL45" s="17">
        <f t="shared" si="0"/>
        <v>0.42576200152933941</v>
      </c>
      <c r="AM45" s="7">
        <f>SUM(AL42:AL45)/4</f>
        <v>0.47550705511266156</v>
      </c>
      <c r="AN45" s="15">
        <v>6.4100871868043834</v>
      </c>
      <c r="AP45" s="55">
        <v>0.6035176850255104</v>
      </c>
      <c r="AQ45" s="55">
        <v>8.4492475903571451E-3</v>
      </c>
    </row>
    <row r="46" spans="1:43">
      <c r="A46" s="1" t="s">
        <v>40</v>
      </c>
      <c r="B46" s="1" t="s">
        <v>41</v>
      </c>
      <c r="C46" s="1" t="s">
        <v>0</v>
      </c>
      <c r="D46" s="51">
        <v>40360</v>
      </c>
      <c r="E46" s="52">
        <v>0.35416666666666669</v>
      </c>
      <c r="F46" s="54">
        <v>2.7</v>
      </c>
      <c r="G46" s="54">
        <v>1.8</v>
      </c>
      <c r="H46" s="12">
        <f t="shared" si="1"/>
        <v>0.90000000000000013</v>
      </c>
      <c r="K46" s="35">
        <v>21</v>
      </c>
      <c r="L46" s="19">
        <v>4.9351047911908132</v>
      </c>
      <c r="AD46" s="36">
        <v>10.135561750000003</v>
      </c>
      <c r="AP46" s="55">
        <v>31.260765498669798</v>
      </c>
      <c r="AQ46" s="55">
        <v>0.4376507169813772</v>
      </c>
    </row>
    <row r="47" spans="1:43" s="1" customFormat="1">
      <c r="A47" s="1" t="s">
        <v>40</v>
      </c>
      <c r="B47" s="1" t="s">
        <v>41</v>
      </c>
      <c r="C47" s="1" t="s">
        <v>0</v>
      </c>
      <c r="D47" s="51">
        <v>40374</v>
      </c>
      <c r="E47" s="52">
        <v>0.35833333333333334</v>
      </c>
      <c r="F47" s="54">
        <v>2.5</v>
      </c>
      <c r="G47" s="54">
        <v>1.9</v>
      </c>
      <c r="H47" s="12">
        <f t="shared" si="1"/>
        <v>0.60000000000000009</v>
      </c>
      <c r="I47" s="9"/>
      <c r="J47" s="9"/>
      <c r="K47" s="35">
        <v>25.1</v>
      </c>
      <c r="L47" s="19">
        <v>4.1394908001398658</v>
      </c>
      <c r="M47" s="9"/>
      <c r="O47" s="13"/>
      <c r="R47" s="9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36">
        <v>8.9866055000000014</v>
      </c>
      <c r="AE47" s="12"/>
      <c r="AF47" s="12"/>
      <c r="AG47" s="12"/>
      <c r="AH47" s="12"/>
      <c r="AI47" s="26"/>
      <c r="AJ47" s="12"/>
      <c r="AK47" s="17"/>
      <c r="AL47" s="26"/>
      <c r="AM47" s="12"/>
      <c r="AP47" s="55">
        <v>33.685974893587812</v>
      </c>
      <c r="AQ47" s="55">
        <v>0.47160364851022935</v>
      </c>
    </row>
    <row r="48" spans="1:43" s="1" customFormat="1">
      <c r="A48" s="1" t="s">
        <v>40</v>
      </c>
      <c r="B48" s="1" t="s">
        <v>41</v>
      </c>
      <c r="C48" s="1" t="s">
        <v>0</v>
      </c>
      <c r="D48" s="51">
        <v>40393</v>
      </c>
      <c r="E48" s="53" t="s">
        <v>61</v>
      </c>
      <c r="F48" s="54">
        <v>2.4</v>
      </c>
      <c r="G48" s="54">
        <v>1.2</v>
      </c>
      <c r="H48" s="12">
        <f t="shared" si="1"/>
        <v>1.2</v>
      </c>
      <c r="I48" s="22"/>
      <c r="J48" s="22"/>
      <c r="K48" s="35">
        <v>23.6</v>
      </c>
      <c r="L48" s="19">
        <v>5.2001091714948338</v>
      </c>
      <c r="M48" s="22"/>
      <c r="N48" s="20"/>
      <c r="O48" s="23"/>
      <c r="P48" s="20"/>
      <c r="Q48" s="20"/>
      <c r="R48" s="24"/>
      <c r="S48" s="5"/>
      <c r="T48" s="5"/>
      <c r="U48" s="5"/>
      <c r="V48" s="5"/>
      <c r="W48" s="12"/>
      <c r="X48" s="5"/>
      <c r="Y48" s="5"/>
      <c r="Z48" s="5"/>
      <c r="AA48" s="5"/>
      <c r="AB48" s="5"/>
      <c r="AC48" s="5"/>
      <c r="AD48" s="36">
        <v>8.6047984999999994</v>
      </c>
      <c r="AE48" s="5"/>
      <c r="AF48" s="5"/>
      <c r="AG48" s="5"/>
      <c r="AH48" s="5"/>
      <c r="AI48" s="25"/>
      <c r="AJ48" s="5"/>
      <c r="AK48" s="17"/>
      <c r="AL48" s="26"/>
      <c r="AM48" s="5"/>
      <c r="AO48" s="5"/>
      <c r="AP48" s="55">
        <v>53.29544199585839</v>
      </c>
      <c r="AQ48" s="55">
        <v>0.74613618794201753</v>
      </c>
    </row>
    <row r="49" spans="1:45" s="1" customFormat="1">
      <c r="A49" s="1" t="s">
        <v>40</v>
      </c>
      <c r="B49" s="1" t="s">
        <v>41</v>
      </c>
      <c r="C49" s="1" t="s">
        <v>0</v>
      </c>
      <c r="D49" s="51">
        <v>40407</v>
      </c>
      <c r="E49" s="52">
        <v>0.38541666666666669</v>
      </c>
      <c r="F49" s="54">
        <v>2.5</v>
      </c>
      <c r="G49" s="54">
        <v>1.5</v>
      </c>
      <c r="H49" s="12">
        <f t="shared" si="1"/>
        <v>1</v>
      </c>
      <c r="I49" s="29"/>
      <c r="J49" s="29"/>
      <c r="K49" s="35">
        <v>23.4</v>
      </c>
      <c r="L49" s="19">
        <v>4.8136724841728951</v>
      </c>
      <c r="M49" s="29"/>
      <c r="N49" s="27"/>
      <c r="O49" s="30"/>
      <c r="P49" s="31"/>
      <c r="Q49" s="31"/>
      <c r="R49" s="29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36">
        <v>8.86287175</v>
      </c>
      <c r="AE49" s="28"/>
      <c r="AF49" s="28"/>
      <c r="AG49" s="28"/>
      <c r="AH49" s="28"/>
      <c r="AI49" s="32"/>
      <c r="AJ49" s="28"/>
      <c r="AK49" s="32"/>
      <c r="AL49" s="32"/>
      <c r="AM49" s="28"/>
      <c r="AO49" s="33"/>
      <c r="AP49" s="55">
        <v>39.58902021893136</v>
      </c>
      <c r="AQ49" s="55">
        <v>0.55424628306503909</v>
      </c>
    </row>
    <row r="50" spans="1:45">
      <c r="A50" s="1" t="s">
        <v>40</v>
      </c>
      <c r="B50" s="1" t="s">
        <v>41</v>
      </c>
      <c r="C50" s="1" t="s">
        <v>0</v>
      </c>
      <c r="D50" s="51">
        <v>40731</v>
      </c>
      <c r="E50" s="53" t="s">
        <v>61</v>
      </c>
      <c r="F50" s="53">
        <v>2.6</v>
      </c>
      <c r="G50" s="53">
        <v>2</v>
      </c>
      <c r="H50" s="12">
        <f t="shared" si="1"/>
        <v>0.60000000000000009</v>
      </c>
      <c r="K50" s="35">
        <v>24.1</v>
      </c>
      <c r="L50" s="19">
        <v>4.6323240184713095</v>
      </c>
      <c r="AD50" s="19">
        <v>4.8656675000000007</v>
      </c>
      <c r="AP50" s="55">
        <v>74.178937502004587</v>
      </c>
      <c r="AQ50" s="55">
        <v>1.0385051250280641</v>
      </c>
    </row>
    <row r="51" spans="1:45" s="1" customFormat="1">
      <c r="A51" s="1" t="s">
        <v>40</v>
      </c>
      <c r="B51" s="1" t="s">
        <v>41</v>
      </c>
      <c r="C51" s="1" t="s">
        <v>0</v>
      </c>
      <c r="D51" s="51">
        <v>40745</v>
      </c>
      <c r="E51" s="52">
        <v>0.38541666666666669</v>
      </c>
      <c r="F51" s="53">
        <v>2</v>
      </c>
      <c r="G51" s="53">
        <v>1.2</v>
      </c>
      <c r="H51" s="12">
        <f t="shared" si="1"/>
        <v>0.8</v>
      </c>
      <c r="I51" s="40"/>
      <c r="K51" s="35">
        <v>24.9</v>
      </c>
      <c r="L51" s="19">
        <v>4.4058323651392008</v>
      </c>
      <c r="M51" s="9"/>
      <c r="U51" s="12"/>
      <c r="W51" s="12"/>
      <c r="Y51" s="12"/>
      <c r="AD51" s="19">
        <v>6.5063597925658243</v>
      </c>
      <c r="AH51" s="15"/>
      <c r="AJ51" s="12"/>
      <c r="AK51" s="17"/>
      <c r="AL51" s="26"/>
      <c r="AP51" s="55">
        <v>50.04463536103578</v>
      </c>
      <c r="AQ51" s="55">
        <v>0.70062489505450098</v>
      </c>
      <c r="AS51" s="65" t="s">
        <v>63</v>
      </c>
    </row>
    <row r="52" spans="1:45" s="1" customFormat="1">
      <c r="A52" s="1" t="s">
        <v>40</v>
      </c>
      <c r="B52" s="1" t="s">
        <v>41</v>
      </c>
      <c r="C52" s="1" t="s">
        <v>0</v>
      </c>
      <c r="D52" s="51">
        <v>40759</v>
      </c>
      <c r="E52" s="52">
        <v>0.39583333333333331</v>
      </c>
      <c r="F52" s="53">
        <v>1.6</v>
      </c>
      <c r="G52" s="53">
        <v>1.6</v>
      </c>
      <c r="H52" s="12">
        <f t="shared" si="1"/>
        <v>0</v>
      </c>
      <c r="I52" s="40"/>
      <c r="K52" s="35">
        <v>24.4</v>
      </c>
      <c r="L52" s="19">
        <v>4.9733414171167603</v>
      </c>
      <c r="M52" s="9"/>
      <c r="U52" s="12"/>
      <c r="W52" s="12"/>
      <c r="Y52" s="12"/>
      <c r="AD52" s="19">
        <v>4.3425258126582289</v>
      </c>
      <c r="AH52" s="15"/>
      <c r="AJ52" s="12"/>
      <c r="AK52" s="17"/>
      <c r="AL52" s="26"/>
      <c r="AP52" s="55">
        <v>71.967637053367099</v>
      </c>
      <c r="AQ52" s="55">
        <v>1.0075469187471393</v>
      </c>
      <c r="AS52" s="69" t="s">
        <v>39</v>
      </c>
    </row>
    <row r="53" spans="1:45" s="1" customFormat="1">
      <c r="A53" s="1" t="s">
        <v>40</v>
      </c>
      <c r="B53" s="1" t="s">
        <v>41</v>
      </c>
      <c r="C53" s="1" t="s">
        <v>0</v>
      </c>
      <c r="D53" s="51">
        <v>40773</v>
      </c>
      <c r="E53" s="53" t="s">
        <v>61</v>
      </c>
      <c r="F53" s="53">
        <v>2</v>
      </c>
      <c r="G53" s="53">
        <v>1.4</v>
      </c>
      <c r="H53" s="12">
        <f t="shared" si="1"/>
        <v>0.60000000000000009</v>
      </c>
      <c r="I53" s="40"/>
      <c r="K53" s="35">
        <v>24.1</v>
      </c>
      <c r="L53" s="19">
        <v>6.0051764094000788</v>
      </c>
      <c r="M53" s="9"/>
      <c r="U53" s="12"/>
      <c r="W53" s="12"/>
      <c r="Y53" s="12"/>
      <c r="AD53" s="19">
        <v>12.402671333333338</v>
      </c>
      <c r="AH53" s="15"/>
      <c r="AJ53" s="12"/>
      <c r="AK53" s="17"/>
      <c r="AL53" s="26"/>
      <c r="AP53" s="55">
        <v>50.345228502566286</v>
      </c>
      <c r="AQ53" s="55">
        <v>0.704833199035928</v>
      </c>
      <c r="AS53" s="15">
        <v>15.43866937</v>
      </c>
    </row>
    <row r="54" spans="1:45" s="1" customFormat="1">
      <c r="A54" s="1" t="s">
        <v>40</v>
      </c>
      <c r="B54" s="1" t="s">
        <v>41</v>
      </c>
      <c r="C54" s="1" t="s">
        <v>0</v>
      </c>
      <c r="D54" s="3">
        <v>41101</v>
      </c>
      <c r="E54" s="77">
        <v>0.35416666666666669</v>
      </c>
      <c r="F54" s="12">
        <v>2.6</v>
      </c>
      <c r="G54" s="12">
        <v>1.8</v>
      </c>
      <c r="H54" s="12"/>
      <c r="I54" s="40"/>
      <c r="J54" s="1">
        <v>1.3</v>
      </c>
      <c r="K54" s="9">
        <v>24.8</v>
      </c>
      <c r="L54" s="12">
        <v>4.8476217611694032</v>
      </c>
      <c r="M54" s="9"/>
      <c r="O54" s="60">
        <v>2</v>
      </c>
      <c r="P54" s="1">
        <v>2</v>
      </c>
      <c r="Q54" s="60" t="s">
        <v>46</v>
      </c>
      <c r="R54" s="60" t="s">
        <v>64</v>
      </c>
      <c r="S54" s="78">
        <v>31.5</v>
      </c>
      <c r="T54" s="14">
        <v>0.63481291692634401</v>
      </c>
      <c r="U54" s="79">
        <v>0.49272755708476512</v>
      </c>
      <c r="V54" s="12">
        <f t="shared" ref="V54:V64" si="6">U54*0.014</f>
        <v>6.8981857991867119E-3</v>
      </c>
      <c r="W54" s="15">
        <v>0.28750499400719137</v>
      </c>
      <c r="X54" s="12">
        <f t="shared" ref="X54:X64" si="7">W54*0.014</f>
        <v>4.0250699161006789E-3</v>
      </c>
      <c r="Y54" s="12">
        <v>0.51772755708476514</v>
      </c>
      <c r="AA54" s="12">
        <v>14.920941812915235</v>
      </c>
      <c r="AB54" s="80">
        <v>5.6483676582278495</v>
      </c>
      <c r="AC54" s="80">
        <v>1.322997293855485</v>
      </c>
      <c r="AD54" s="82">
        <v>6.9713649520833343</v>
      </c>
      <c r="AF54" s="81">
        <v>0.81022406616940656</v>
      </c>
      <c r="AG54" s="12">
        <v>87.819119004460831</v>
      </c>
      <c r="AH54" s="12">
        <v>12.287881954447226</v>
      </c>
      <c r="AI54" s="12">
        <v>27.20882376736246</v>
      </c>
      <c r="AJ54" s="12">
        <f t="shared" ref="AJ54:AJ64" si="8">AI54*0.014</f>
        <v>0.38092353274307444</v>
      </c>
      <c r="AK54" s="17"/>
      <c r="AL54" s="26"/>
      <c r="AN54" s="12">
        <v>7.1468068565451484</v>
      </c>
      <c r="AP54" s="12">
        <v>28.24427888153199</v>
      </c>
      <c r="AQ54" s="55">
        <f>AP54*0.014</f>
        <v>0.39541990434144786</v>
      </c>
      <c r="AS54" s="15">
        <v>22.049611617696723</v>
      </c>
    </row>
    <row r="55" spans="1:45">
      <c r="A55" s="1" t="s">
        <v>40</v>
      </c>
      <c r="B55" s="1" t="s">
        <v>41</v>
      </c>
      <c r="C55" s="1" t="s">
        <v>0</v>
      </c>
      <c r="D55" s="3">
        <v>41115</v>
      </c>
      <c r="E55" s="83">
        <v>0.36805555555555558</v>
      </c>
      <c r="F55" s="12">
        <v>2.2999999999999998</v>
      </c>
      <c r="G55" s="12">
        <v>1.7</v>
      </c>
      <c r="J55" s="1">
        <v>1.1499999999999999</v>
      </c>
      <c r="K55" s="9">
        <v>23.8</v>
      </c>
      <c r="L55" s="12">
        <v>4.4239879798495858</v>
      </c>
      <c r="O55" s="60">
        <v>1</v>
      </c>
      <c r="P55" s="1">
        <v>5</v>
      </c>
      <c r="Q55" s="60" t="s">
        <v>53</v>
      </c>
      <c r="R55" s="60" t="s">
        <v>65</v>
      </c>
      <c r="S55" s="78">
        <v>31.5</v>
      </c>
      <c r="T55" s="79">
        <v>0.57585726797062731</v>
      </c>
      <c r="U55" s="79">
        <v>2.4694025056215865</v>
      </c>
      <c r="V55" s="12">
        <f t="shared" si="6"/>
        <v>3.4571635078702215E-2</v>
      </c>
      <c r="W55" s="15">
        <v>0.3017379145025969</v>
      </c>
      <c r="X55" s="12">
        <f t="shared" si="7"/>
        <v>4.2243308030363571E-3</v>
      </c>
      <c r="Y55" s="15">
        <v>2.4944025056215864</v>
      </c>
      <c r="AA55" s="15">
        <v>19.555209112075136</v>
      </c>
      <c r="AB55" s="80">
        <v>4.4714313291139236</v>
      </c>
      <c r="AC55" s="80">
        <v>6.4899331229694086</v>
      </c>
      <c r="AD55" s="82">
        <v>10.961364452083332</v>
      </c>
      <c r="AF55" s="81">
        <v>0.40792652672579255</v>
      </c>
      <c r="AG55" s="12">
        <v>93.653256280980969</v>
      </c>
      <c r="AH55" s="12">
        <v>14.16156608225301</v>
      </c>
      <c r="AI55" s="12">
        <v>33.71677519432815</v>
      </c>
      <c r="AJ55" s="12">
        <f t="shared" si="8"/>
        <v>0.47203485272059409</v>
      </c>
      <c r="AN55" s="12">
        <v>6.6131991149160649</v>
      </c>
      <c r="AP55" s="12">
        <v>38.705580205571323</v>
      </c>
      <c r="AQ55" s="55">
        <f t="shared" ref="AQ55:AQ64" si="9">AP55*0.014</f>
        <v>0.54187812287799852</v>
      </c>
      <c r="AR55" s="62" t="s">
        <v>63</v>
      </c>
      <c r="AS55" s="15">
        <v>54.534414049307671</v>
      </c>
    </row>
    <row r="56" spans="1:45">
      <c r="A56" s="1" t="s">
        <v>40</v>
      </c>
      <c r="B56" s="1" t="s">
        <v>41</v>
      </c>
      <c r="C56" s="1" t="s">
        <v>0</v>
      </c>
      <c r="D56" s="3">
        <v>41129</v>
      </c>
      <c r="E56" s="83">
        <v>0.36249999999999999</v>
      </c>
      <c r="F56" s="12">
        <v>2.2999999999999998</v>
      </c>
      <c r="G56" s="12">
        <v>1.8</v>
      </c>
      <c r="J56" s="1">
        <v>1.1499999999999999</v>
      </c>
      <c r="K56" s="9">
        <v>25.9</v>
      </c>
      <c r="L56" s="12">
        <v>4.8653743765954873</v>
      </c>
      <c r="O56" s="60">
        <v>2</v>
      </c>
      <c r="P56" s="1">
        <v>2</v>
      </c>
      <c r="Q56" s="60" t="s">
        <v>46</v>
      </c>
      <c r="R56" s="60" t="s">
        <v>65</v>
      </c>
      <c r="S56" s="78">
        <v>31.1</v>
      </c>
      <c r="T56" s="79">
        <v>0.86960731935354607</v>
      </c>
      <c r="U56" s="79">
        <v>6.9259691554230667</v>
      </c>
      <c r="V56" s="12">
        <f t="shared" si="6"/>
        <v>9.6963568175922929E-2</v>
      </c>
      <c r="W56" s="15">
        <v>0.38349944759714966</v>
      </c>
      <c r="X56" s="12">
        <f t="shared" si="7"/>
        <v>5.368992266360095E-3</v>
      </c>
      <c r="Y56" s="15">
        <v>7.3094686030202167</v>
      </c>
      <c r="AA56" s="15">
        <v>47.224945446287457</v>
      </c>
      <c r="AB56" s="80">
        <v>5.7456734177215179</v>
      </c>
      <c r="AC56" s="80">
        <v>2.8180307843618144</v>
      </c>
      <c r="AD56" s="82">
        <v>8.5637042020833327</v>
      </c>
      <c r="AF56" s="81">
        <v>0.67093319457761524</v>
      </c>
      <c r="AG56" s="12">
        <v>80.734468529319273</v>
      </c>
      <c r="AH56" s="12">
        <v>11.670779199594788</v>
      </c>
      <c r="AI56" s="12">
        <v>58.895724645882247</v>
      </c>
      <c r="AJ56" s="12">
        <f t="shared" si="8"/>
        <v>0.82454014504235151</v>
      </c>
      <c r="AN56" s="12">
        <v>6.9176588082586967</v>
      </c>
      <c r="AP56" s="12">
        <v>73.514661851922668</v>
      </c>
      <c r="AQ56" s="55">
        <f t="shared" si="9"/>
        <v>1.0292052659269173</v>
      </c>
      <c r="AR56" s="74" t="s">
        <v>39</v>
      </c>
      <c r="AS56" s="15">
        <v>19.31404930766633</v>
      </c>
    </row>
    <row r="57" spans="1:45">
      <c r="A57" s="1" t="s">
        <v>40</v>
      </c>
      <c r="B57" s="1" t="s">
        <v>41</v>
      </c>
      <c r="C57" s="1" t="s">
        <v>0</v>
      </c>
      <c r="D57" s="3">
        <v>41143</v>
      </c>
      <c r="E57" s="77" t="s">
        <v>66</v>
      </c>
      <c r="F57" s="12">
        <v>2.1</v>
      </c>
      <c r="G57" s="12">
        <v>1.4</v>
      </c>
      <c r="J57" s="1">
        <v>1.05</v>
      </c>
      <c r="K57" s="9">
        <v>24</v>
      </c>
      <c r="L57" s="12">
        <v>5.6100913603144518</v>
      </c>
      <c r="O57" s="60">
        <v>1</v>
      </c>
      <c r="P57" s="1">
        <v>1</v>
      </c>
      <c r="Q57" s="60" t="s">
        <v>66</v>
      </c>
      <c r="R57" s="60" t="s">
        <v>42</v>
      </c>
      <c r="S57" s="78">
        <v>31</v>
      </c>
      <c r="T57" s="14">
        <v>1.1654280959883048</v>
      </c>
      <c r="U57" s="79">
        <v>0.52853889157291767</v>
      </c>
      <c r="V57" s="12">
        <f t="shared" si="6"/>
        <v>7.3995444820208478E-3</v>
      </c>
      <c r="W57" s="15">
        <v>0.26188573711546148</v>
      </c>
      <c r="X57" s="12">
        <f t="shared" si="7"/>
        <v>3.6664003196164607E-3</v>
      </c>
      <c r="Y57" s="15">
        <v>0.55353889157291769</v>
      </c>
      <c r="AA57" s="15">
        <v>18.760510416093414</v>
      </c>
      <c r="AB57" s="80">
        <v>9.9390882911392389</v>
      </c>
      <c r="AC57" s="80">
        <v>2.0142852109440947</v>
      </c>
      <c r="AD57" s="82">
        <v>11.953373502083334</v>
      </c>
      <c r="AF57" s="81">
        <v>0.83148813926101872</v>
      </c>
      <c r="AG57" s="12">
        <v>137.30503774584093</v>
      </c>
      <c r="AH57" s="12">
        <v>16.483993661857472</v>
      </c>
      <c r="AI57" s="12">
        <v>35.244504077950886</v>
      </c>
      <c r="AJ57" s="12">
        <f t="shared" si="8"/>
        <v>0.4934230570913124</v>
      </c>
      <c r="AN57" s="12">
        <v>8.3295978245583076</v>
      </c>
      <c r="AP57" s="12">
        <v>36.351581861096719</v>
      </c>
      <c r="AQ57" s="55">
        <f t="shared" si="9"/>
        <v>0.50892214605535402</v>
      </c>
      <c r="AR57" s="85">
        <v>24.294467977811397</v>
      </c>
    </row>
    <row r="58" spans="1:45" ht="15">
      <c r="A58" s="1" t="s">
        <v>40</v>
      </c>
      <c r="B58" s="1" t="s">
        <v>41</v>
      </c>
      <c r="C58" s="1" t="s">
        <v>0</v>
      </c>
      <c r="D58" s="3">
        <v>41466</v>
      </c>
      <c r="E58" s="34">
        <v>0.39583333333333331</v>
      </c>
      <c r="F58" s="1">
        <v>1.9</v>
      </c>
      <c r="G58" s="9">
        <v>1.1200000000000001</v>
      </c>
      <c r="J58" s="9">
        <v>1</v>
      </c>
      <c r="K58" s="9">
        <v>25.4</v>
      </c>
      <c r="L58" s="19">
        <v>5.3</v>
      </c>
      <c r="O58" s="1">
        <v>3</v>
      </c>
      <c r="P58" s="1">
        <v>4</v>
      </c>
      <c r="Q58" s="1" t="s">
        <v>46</v>
      </c>
      <c r="R58" s="1" t="s">
        <v>57</v>
      </c>
      <c r="S58" s="78">
        <v>30.5</v>
      </c>
      <c r="T58" s="9">
        <v>0.25</v>
      </c>
      <c r="U58" s="9">
        <v>0.88184081737786379</v>
      </c>
      <c r="V58" s="12">
        <f t="shared" si="6"/>
        <v>1.2345771443290094E-2</v>
      </c>
      <c r="W58" s="84">
        <v>0.39895672333848525</v>
      </c>
      <c r="X58" s="12">
        <f t="shared" si="7"/>
        <v>5.5853941267387935E-3</v>
      </c>
      <c r="Y58" s="84">
        <v>1.280797540716349</v>
      </c>
      <c r="AA58" s="84">
        <v>23.013670437095048</v>
      </c>
      <c r="AB58" s="86">
        <v>16.48386075949367</v>
      </c>
      <c r="AC58" s="86">
        <v>1.1028892405063306</v>
      </c>
      <c r="AD58" s="12">
        <v>17.586750000000002</v>
      </c>
      <c r="AF58" s="87">
        <v>0.93728862692047521</v>
      </c>
      <c r="AG58" s="12">
        <v>170.53494745329911</v>
      </c>
      <c r="AH58" s="12">
        <v>24.69286618317922</v>
      </c>
      <c r="AI58" s="12">
        <v>47.706536620274264</v>
      </c>
      <c r="AJ58" s="12">
        <f t="shared" si="8"/>
        <v>0.66789151268383973</v>
      </c>
      <c r="AN58" s="12">
        <v>6.9062435356114111</v>
      </c>
      <c r="AP58" s="12">
        <v>48.987334160990613</v>
      </c>
      <c r="AQ58" s="55">
        <f t="shared" si="9"/>
        <v>0.68582267825386856</v>
      </c>
      <c r="AR58" s="85">
        <v>25.968068582955116</v>
      </c>
    </row>
    <row r="59" spans="1:45" ht="15">
      <c r="A59" s="1" t="s">
        <v>40</v>
      </c>
      <c r="B59" s="1" t="s">
        <v>41</v>
      </c>
      <c r="C59" s="1" t="s">
        <v>0</v>
      </c>
      <c r="D59" s="3">
        <v>41480</v>
      </c>
      <c r="E59" s="34">
        <v>0.38263888888888892</v>
      </c>
      <c r="F59" s="1">
        <v>2.6</v>
      </c>
      <c r="G59" s="9">
        <v>1.75</v>
      </c>
      <c r="J59" s="9">
        <v>1.3</v>
      </c>
      <c r="K59" s="9">
        <v>25.2</v>
      </c>
      <c r="L59" s="19">
        <v>4</v>
      </c>
      <c r="O59" s="1">
        <v>3</v>
      </c>
      <c r="P59" s="1">
        <v>3</v>
      </c>
      <c r="Q59" s="1" t="s">
        <v>43</v>
      </c>
      <c r="R59" s="1" t="s">
        <v>67</v>
      </c>
      <c r="S59" s="9">
        <v>30.7</v>
      </c>
      <c r="T59" s="9">
        <v>0.61691398209104586</v>
      </c>
      <c r="U59" s="9">
        <v>0.53981407702523088</v>
      </c>
      <c r="V59" s="12">
        <f t="shared" si="6"/>
        <v>7.5573970783532323E-3</v>
      </c>
      <c r="W59" s="84">
        <v>0.3320131375579598</v>
      </c>
      <c r="X59" s="12">
        <f t="shared" si="7"/>
        <v>4.6481839258114372E-3</v>
      </c>
      <c r="Y59" s="84">
        <v>0.87182721458319068</v>
      </c>
      <c r="AA59" s="84">
        <v>25.096241368371924</v>
      </c>
      <c r="AB59" s="86">
        <v>5.2340506329113934</v>
      </c>
      <c r="AC59" s="86">
        <v>0.92354936708860769</v>
      </c>
      <c r="AD59" s="12">
        <v>6.1576000000000013</v>
      </c>
      <c r="AF59" s="87">
        <v>0.85001471886959079</v>
      </c>
      <c r="AG59" s="12">
        <v>103.04172938102286</v>
      </c>
      <c r="AH59" s="12">
        <v>14.427933358762916</v>
      </c>
      <c r="AI59" s="12">
        <v>39.524174727134842</v>
      </c>
      <c r="AJ59" s="12">
        <f t="shared" si="8"/>
        <v>0.55333844617988781</v>
      </c>
      <c r="AN59" s="12">
        <v>7.141821827062965</v>
      </c>
      <c r="AP59" s="12">
        <v>40.396001941718033</v>
      </c>
      <c r="AQ59" s="55">
        <f t="shared" si="9"/>
        <v>0.5655440271840525</v>
      </c>
      <c r="AR59" s="85">
        <v>22.635100000000001</v>
      </c>
      <c r="AS59" s="61" t="s">
        <v>63</v>
      </c>
    </row>
    <row r="60" spans="1:45" ht="15">
      <c r="A60" s="1" t="s">
        <v>40</v>
      </c>
      <c r="B60" s="1" t="s">
        <v>41</v>
      </c>
      <c r="C60" s="1" t="s">
        <v>0</v>
      </c>
      <c r="D60" s="3">
        <v>41499</v>
      </c>
      <c r="E60" s="34">
        <v>0.38750000000000001</v>
      </c>
      <c r="F60" s="1">
        <v>2</v>
      </c>
      <c r="G60" s="9">
        <v>1.7</v>
      </c>
      <c r="H60" s="59"/>
      <c r="I60" s="60"/>
      <c r="J60" s="9">
        <v>1</v>
      </c>
      <c r="K60" s="9">
        <v>23.8</v>
      </c>
      <c r="L60" s="12">
        <v>4.7</v>
      </c>
      <c r="M60" s="61"/>
      <c r="N60" s="61"/>
      <c r="O60" s="1">
        <v>3</v>
      </c>
      <c r="P60" s="1">
        <v>1</v>
      </c>
      <c r="Q60" s="1" t="s">
        <v>50</v>
      </c>
      <c r="R60" s="1" t="s">
        <v>65</v>
      </c>
      <c r="S60" s="78">
        <v>30.5</v>
      </c>
      <c r="T60" s="9">
        <v>0.62262370965442637</v>
      </c>
      <c r="U60" s="9">
        <v>0.64005705741832331</v>
      </c>
      <c r="V60" s="12">
        <f t="shared" si="6"/>
        <v>8.9607988038565272E-3</v>
      </c>
      <c r="W60" s="84">
        <v>0.30728361669242654</v>
      </c>
      <c r="X60" s="12">
        <f t="shared" si="7"/>
        <v>4.3019706336939719E-3</v>
      </c>
      <c r="Y60" s="84">
        <v>0.94734067411074985</v>
      </c>
      <c r="Z60" s="61"/>
      <c r="AA60" s="84">
        <v>21.687759325889253</v>
      </c>
      <c r="AB60" s="12">
        <v>4.8438759493670878</v>
      </c>
      <c r="AC60" s="12">
        <v>2.2574754464662456</v>
      </c>
      <c r="AD60" s="12">
        <v>7.1013513958333334</v>
      </c>
      <c r="AE60" s="35"/>
      <c r="AF60" s="76">
        <v>0.68210621885423062</v>
      </c>
      <c r="AG60" s="12">
        <v>93.004543504122168</v>
      </c>
      <c r="AH60" s="12">
        <v>14.995491813869537</v>
      </c>
      <c r="AI60" s="12">
        <v>36.683251139758788</v>
      </c>
      <c r="AJ60" s="12">
        <f t="shared" si="8"/>
        <v>0.51356551595662303</v>
      </c>
      <c r="AK60" s="12"/>
      <c r="AL60" s="12"/>
      <c r="AM60" s="12"/>
      <c r="AN60" s="12">
        <v>6.202166935138532</v>
      </c>
      <c r="AO60" s="12"/>
      <c r="AP60" s="12">
        <v>37.630591813869536</v>
      </c>
      <c r="AQ60" s="55">
        <f t="shared" si="9"/>
        <v>0.52682828539417348</v>
      </c>
      <c r="AR60" s="1"/>
      <c r="AS60" s="88" t="s">
        <v>39</v>
      </c>
    </row>
    <row r="61" spans="1:45" ht="15">
      <c r="A61" s="1" t="s">
        <v>40</v>
      </c>
      <c r="B61" s="1" t="s">
        <v>41</v>
      </c>
      <c r="C61" s="1" t="s">
        <v>0</v>
      </c>
      <c r="D61" s="3">
        <v>41836</v>
      </c>
      <c r="E61" s="34">
        <v>0.375</v>
      </c>
      <c r="F61" s="9">
        <v>2.1</v>
      </c>
      <c r="G61" s="9">
        <v>0.9</v>
      </c>
      <c r="H61" s="1"/>
      <c r="I61" s="1"/>
      <c r="J61" s="18">
        <v>1.05</v>
      </c>
      <c r="K61" s="18">
        <v>24.2</v>
      </c>
      <c r="L61" s="15">
        <v>4.63</v>
      </c>
      <c r="M61" s="13"/>
      <c r="N61" s="1"/>
      <c r="O61" s="1">
        <v>3</v>
      </c>
      <c r="P61" s="1">
        <v>3</v>
      </c>
      <c r="Q61" s="1" t="s">
        <v>68</v>
      </c>
      <c r="R61" s="1" t="s">
        <v>57</v>
      </c>
      <c r="S61" s="18">
        <v>30.6</v>
      </c>
      <c r="T61" s="18">
        <v>0.52616913484021843</v>
      </c>
      <c r="U61" s="18">
        <v>8.6600112485939249</v>
      </c>
      <c r="V61" s="12">
        <f t="shared" si="6"/>
        <v>0.12124015748031496</v>
      </c>
      <c r="W61" s="84">
        <v>0.46346039897294083</v>
      </c>
      <c r="X61" s="12">
        <f t="shared" si="7"/>
        <v>6.488445585621172E-3</v>
      </c>
      <c r="Y61" s="84">
        <v>9.1234716475668662</v>
      </c>
      <c r="Z61" s="64"/>
      <c r="AA61" s="84">
        <v>39.544763646550798</v>
      </c>
      <c r="AB61" s="15">
        <v>4.9390405063291141</v>
      </c>
      <c r="AC61" s="15">
        <v>1.7342808686708859</v>
      </c>
      <c r="AD61" s="15">
        <v>6.6733213750000004</v>
      </c>
      <c r="AE61" s="35"/>
      <c r="AF61" s="89">
        <v>0.74011728624850082</v>
      </c>
      <c r="AG61" s="15">
        <v>112.80254031396082</v>
      </c>
      <c r="AH61" s="15">
        <v>16.832492066357478</v>
      </c>
      <c r="AI61" s="15">
        <v>56.377255712908251</v>
      </c>
      <c r="AJ61" s="12">
        <f t="shared" si="8"/>
        <v>0.78928157998071558</v>
      </c>
      <c r="AK61" s="12"/>
      <c r="AL61" s="12"/>
      <c r="AM61" s="12"/>
      <c r="AN61" s="15">
        <v>6.7014759234264174</v>
      </c>
      <c r="AO61" s="12"/>
      <c r="AP61" s="15">
        <v>65.500727360475111</v>
      </c>
      <c r="AQ61" s="55">
        <f t="shared" si="9"/>
        <v>0.91701018304665161</v>
      </c>
      <c r="AR61" s="1"/>
      <c r="AS61" s="84">
        <v>48.668235294117636</v>
      </c>
    </row>
    <row r="62" spans="1:45" ht="15">
      <c r="A62" s="1" t="s">
        <v>40</v>
      </c>
      <c r="B62" s="1" t="s">
        <v>41</v>
      </c>
      <c r="C62" s="1" t="s">
        <v>0</v>
      </c>
      <c r="D62" s="3">
        <v>41851</v>
      </c>
      <c r="E62" s="1" t="s">
        <v>61</v>
      </c>
      <c r="F62" s="9">
        <v>1.55</v>
      </c>
      <c r="G62" s="9">
        <v>0.9</v>
      </c>
      <c r="H62" s="20"/>
      <c r="I62" s="65"/>
      <c r="J62" s="18">
        <v>0.77500000000000002</v>
      </c>
      <c r="K62" s="18">
        <v>23.9</v>
      </c>
      <c r="L62" s="15">
        <v>5.78</v>
      </c>
      <c r="M62" s="66"/>
      <c r="N62" s="65"/>
      <c r="O62" s="1">
        <v>1</v>
      </c>
      <c r="P62" s="1">
        <v>2</v>
      </c>
      <c r="Q62" s="1" t="s">
        <v>58</v>
      </c>
      <c r="R62" s="1" t="s">
        <v>55</v>
      </c>
      <c r="S62" s="18">
        <v>30.6</v>
      </c>
      <c r="T62" s="18" t="s">
        <v>69</v>
      </c>
      <c r="U62" s="18">
        <v>1.4335894161729916</v>
      </c>
      <c r="V62" s="12">
        <f t="shared" si="6"/>
        <v>2.0070251826421883E-2</v>
      </c>
      <c r="W62" s="84" t="s">
        <v>70</v>
      </c>
      <c r="X62" s="12" t="e">
        <f t="shared" si="7"/>
        <v>#VALUE!</v>
      </c>
      <c r="Y62" s="84">
        <v>1.4585894161729915</v>
      </c>
      <c r="Z62" s="67"/>
      <c r="AA62" s="84">
        <v>23.533175289709362</v>
      </c>
      <c r="AB62" s="15">
        <v>9.1611746835443029</v>
      </c>
      <c r="AC62" s="15">
        <v>2.1206806914556973</v>
      </c>
      <c r="AD62" s="15">
        <v>11.281855374999999</v>
      </c>
      <c r="AE62" s="63"/>
      <c r="AF62" s="89">
        <v>0.8120273110258962</v>
      </c>
      <c r="AG62" s="15">
        <v>167.0042873190144</v>
      </c>
      <c r="AH62" s="15">
        <v>22.550631980204521</v>
      </c>
      <c r="AI62" s="15">
        <v>46.083807269913883</v>
      </c>
      <c r="AJ62" s="12">
        <f t="shared" si="8"/>
        <v>0.64517330177879439</v>
      </c>
      <c r="AK62" s="68"/>
      <c r="AL62" s="68"/>
      <c r="AM62" s="5"/>
      <c r="AN62" s="15">
        <v>7.4057475402735813</v>
      </c>
      <c r="AO62" s="5"/>
      <c r="AP62" s="15">
        <v>47.542396686086875</v>
      </c>
      <c r="AQ62" s="55">
        <f t="shared" si="9"/>
        <v>0.66559355360521621</v>
      </c>
      <c r="AR62" s="65"/>
      <c r="AS62" s="84">
        <v>24.991764705882353</v>
      </c>
    </row>
    <row r="63" spans="1:45" ht="15">
      <c r="A63" s="1" t="s">
        <v>40</v>
      </c>
      <c r="B63" s="1" t="s">
        <v>41</v>
      </c>
      <c r="C63" s="1" t="s">
        <v>0</v>
      </c>
      <c r="D63" s="3">
        <v>41865</v>
      </c>
      <c r="E63" s="34">
        <v>0.40069444444444446</v>
      </c>
      <c r="F63" s="9">
        <v>1.65</v>
      </c>
      <c r="G63" s="9">
        <v>1.65</v>
      </c>
      <c r="H63" s="70"/>
      <c r="I63" s="69"/>
      <c r="J63" s="18">
        <v>0.82499999999999996</v>
      </c>
      <c r="K63" s="18">
        <v>20.2</v>
      </c>
      <c r="L63" s="15">
        <v>5.68</v>
      </c>
      <c r="M63" s="71"/>
      <c r="N63" s="69"/>
      <c r="O63" s="1">
        <v>1</v>
      </c>
      <c r="P63" s="1">
        <v>3</v>
      </c>
      <c r="Q63" s="1" t="s">
        <v>44</v>
      </c>
      <c r="R63" s="1" t="s">
        <v>71</v>
      </c>
      <c r="S63" s="18">
        <v>31.2</v>
      </c>
      <c r="T63" s="18">
        <v>0.47230496832258179</v>
      </c>
      <c r="U63" s="18">
        <v>4.8704486567571248</v>
      </c>
      <c r="V63" s="12">
        <f t="shared" si="6"/>
        <v>6.8186281194599754E-2</v>
      </c>
      <c r="W63" s="84">
        <v>0.41186055698202639</v>
      </c>
      <c r="X63" s="12">
        <f t="shared" si="7"/>
        <v>5.7660477977483698E-3</v>
      </c>
      <c r="Y63" s="84">
        <v>5.2823092137391514</v>
      </c>
      <c r="Z63" s="73"/>
      <c r="AA63" s="90">
        <v>41.327102550966728</v>
      </c>
      <c r="AB63" s="15">
        <v>4.2710759493670887</v>
      </c>
      <c r="AC63" s="15">
        <v>0.59772405063291256</v>
      </c>
      <c r="AD63" s="15">
        <v>4.8688000000000011</v>
      </c>
      <c r="AE63" s="72"/>
      <c r="AF63" s="91">
        <v>0.87723380491437064</v>
      </c>
      <c r="AG63" s="15" t="s">
        <v>72</v>
      </c>
      <c r="AH63" s="15" t="s">
        <v>72</v>
      </c>
      <c r="AI63" s="15" t="s">
        <v>61</v>
      </c>
      <c r="AJ63" s="6" t="s">
        <v>61</v>
      </c>
      <c r="AK63" s="33"/>
      <c r="AL63" s="33"/>
      <c r="AM63" s="75"/>
      <c r="AN63" s="15" t="s">
        <v>72</v>
      </c>
      <c r="AO63" s="33"/>
      <c r="AP63" s="15" t="s">
        <v>61</v>
      </c>
      <c r="AQ63" s="92" t="s">
        <v>61</v>
      </c>
      <c r="AR63" s="69"/>
      <c r="AS63" s="90">
        <v>46.609411764705882</v>
      </c>
    </row>
    <row r="64" spans="1:45" ht="15">
      <c r="A64" s="1" t="s">
        <v>40</v>
      </c>
      <c r="B64" s="1" t="s">
        <v>41</v>
      </c>
      <c r="C64" s="1" t="s">
        <v>0</v>
      </c>
      <c r="D64" s="3">
        <v>41879</v>
      </c>
      <c r="E64" s="1" t="s">
        <v>61</v>
      </c>
      <c r="F64" s="9">
        <v>2</v>
      </c>
      <c r="G64" s="9">
        <v>1.1000000000000001</v>
      </c>
      <c r="J64" s="18">
        <v>1</v>
      </c>
      <c r="K64" s="18">
        <v>23</v>
      </c>
      <c r="L64" s="15">
        <v>3.9</v>
      </c>
      <c r="O64" s="1" t="s">
        <v>61</v>
      </c>
      <c r="P64" s="1" t="s">
        <v>61</v>
      </c>
      <c r="Q64" s="1" t="s">
        <v>61</v>
      </c>
      <c r="R64" s="1" t="s">
        <v>61</v>
      </c>
      <c r="S64" s="18">
        <v>31.2</v>
      </c>
      <c r="T64" s="18">
        <v>0.97885756676557845</v>
      </c>
      <c r="U64" s="18">
        <v>4.1528903111595294</v>
      </c>
      <c r="V64" s="12">
        <f t="shared" si="6"/>
        <v>5.8140464356233414E-2</v>
      </c>
      <c r="W64" s="84">
        <v>0.63233260912502465</v>
      </c>
      <c r="X64" s="12">
        <f t="shared" si="7"/>
        <v>8.8526565277503456E-3</v>
      </c>
      <c r="Y64" s="84">
        <v>4.7852229202845544</v>
      </c>
      <c r="AA64" s="84">
        <v>26.530071197362503</v>
      </c>
      <c r="AB64" s="15">
        <v>4.8121544303797466</v>
      </c>
      <c r="AC64" s="15">
        <v>2.7407729446202533</v>
      </c>
      <c r="AD64" s="15">
        <v>7.5529273749999994</v>
      </c>
      <c r="AF64" s="89">
        <v>0.63712441434401412</v>
      </c>
      <c r="AG64" s="15">
        <v>97.506748184512318</v>
      </c>
      <c r="AH64" s="15">
        <v>16.178322655504818</v>
      </c>
      <c r="AI64" s="15">
        <v>42.708393852867317</v>
      </c>
      <c r="AJ64" s="12">
        <f t="shared" si="8"/>
        <v>0.59791751394014248</v>
      </c>
      <c r="AN64" s="15">
        <v>6.0269998479313784</v>
      </c>
      <c r="AP64" s="15">
        <v>47.493616773151871</v>
      </c>
      <c r="AQ64" s="55">
        <f t="shared" si="9"/>
        <v>0.66491063482412616</v>
      </c>
      <c r="AS64" s="84">
        <v>31.315294117647056</v>
      </c>
    </row>
    <row r="65" spans="12:43">
      <c r="L65" s="93">
        <f>SUM(L5:L64)</f>
        <v>293.59589388068378</v>
      </c>
      <c r="AD65" s="93">
        <f>SUM(AD5:AD64)</f>
        <v>510.50979972248638</v>
      </c>
      <c r="AQ65" s="93">
        <f>SUM(AQ5:AQ64)</f>
        <v>35.364421097745975</v>
      </c>
    </row>
    <row r="66" spans="12:43">
      <c r="L66" s="93">
        <f>AVERAGE(L5:L64)</f>
        <v>5.4369609977904405</v>
      </c>
      <c r="AD66" s="93">
        <f>AVERAGE(AD5:AD64)</f>
        <v>8.5084966620414395</v>
      </c>
      <c r="AQ66" s="93">
        <f>AVERAGE(AQ5:AQ64)</f>
        <v>0.59939696775840634</v>
      </c>
    </row>
    <row r="67" spans="12:43">
      <c r="L67">
        <f>STDEV(L5:L64)</f>
        <v>0.93239020591854438</v>
      </c>
      <c r="AD67">
        <f>STDEV(AD5:AD64)</f>
        <v>3.2685296160539337</v>
      </c>
      <c r="AQ67">
        <f>STDEV(AQ5:AQ64)</f>
        <v>0.30113765337022186</v>
      </c>
    </row>
  </sheetData>
  <phoneticPr fontId="7" type="noConversion"/>
  <dataValidations count="1">
    <dataValidation allowBlank="1" showErrorMessage="1" sqref="W54 W56:W57"/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DO</vt:lpstr>
      <vt:lpstr>TN</vt:lpstr>
      <vt:lpstr>Chl 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Larry Ballantine</cp:lastModifiedBy>
  <dcterms:created xsi:type="dcterms:W3CDTF">2009-06-22T14:51:46Z</dcterms:created>
  <dcterms:modified xsi:type="dcterms:W3CDTF">2016-01-12T20:27:21Z</dcterms:modified>
</cp:coreProperties>
</file>