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7665" windowWidth="14985" windowHeight="7995" activeTab="3"/>
  </bookViews>
  <sheets>
    <sheet name="TN" sheetId="11" r:id="rId1"/>
    <sheet name="Chl A" sheetId="12" r:id="rId2"/>
    <sheet name="DO 1" sheetId="13" r:id="rId3"/>
    <sheet name="Sheet1" sheetId="1" r:id="rId4"/>
  </sheets>
  <calcPr calcId="125725"/>
</workbook>
</file>

<file path=xl/calcChain.xml><?xml version="1.0" encoding="utf-8"?>
<calcChain xmlns="http://schemas.openxmlformats.org/spreadsheetml/2006/main">
  <c r="AP81" i="1"/>
  <c r="AC81"/>
  <c r="K81"/>
  <c r="K80"/>
  <c r="AQ80"/>
  <c r="AP80"/>
  <c r="AC80"/>
  <c r="H75"/>
  <c r="H79"/>
  <c r="H72"/>
  <c r="K43"/>
  <c r="K52"/>
  <c r="AP79"/>
  <c r="AP77"/>
  <c r="AP76"/>
  <c r="AP75"/>
  <c r="AP74"/>
  <c r="AP73"/>
  <c r="AP72"/>
  <c r="AP71"/>
  <c r="AP70"/>
  <c r="AP69"/>
  <c r="AK79"/>
  <c r="AK77"/>
  <c r="AK76"/>
  <c r="AK75"/>
  <c r="AK74"/>
  <c r="AK73"/>
  <c r="AK72"/>
  <c r="AK71"/>
  <c r="AK70"/>
  <c r="AK69"/>
  <c r="AI72"/>
  <c r="AI71"/>
  <c r="AI70"/>
  <c r="AI69"/>
  <c r="AI79"/>
  <c r="AI77"/>
  <c r="AI76"/>
  <c r="AI75"/>
  <c r="AI74"/>
  <c r="AI73"/>
  <c r="W79"/>
  <c r="W78"/>
  <c r="W77"/>
  <c r="W76"/>
  <c r="W75"/>
  <c r="W74"/>
  <c r="W73"/>
  <c r="W72"/>
  <c r="W71"/>
  <c r="W70"/>
  <c r="W69"/>
  <c r="U79"/>
  <c r="U78"/>
  <c r="U77"/>
  <c r="U76"/>
  <c r="U75"/>
  <c r="U74"/>
  <c r="U73"/>
  <c r="U72"/>
  <c r="U71"/>
  <c r="U70"/>
  <c r="U69"/>
  <c r="AC52"/>
  <c r="AC51"/>
  <c r="AC50"/>
  <c r="AC49"/>
  <c r="AC48"/>
  <c r="AC47"/>
  <c r="AP68"/>
  <c r="AP67"/>
  <c r="AP66"/>
  <c r="AP65"/>
  <c r="AP64"/>
  <c r="AP63"/>
  <c r="AP62"/>
  <c r="AO61"/>
  <c r="AP61" s="1"/>
  <c r="AO60"/>
  <c r="AP60" s="1"/>
  <c r="AO59"/>
  <c r="AP59" s="1"/>
  <c r="AO58"/>
  <c r="AP58" s="1"/>
  <c r="AP57"/>
  <c r="AP56"/>
  <c r="AP55"/>
  <c r="AP54"/>
  <c r="AP53"/>
  <c r="AP52"/>
  <c r="AP51"/>
  <c r="AP50"/>
  <c r="AP49"/>
  <c r="AP48"/>
  <c r="AP47"/>
  <c r="AO46"/>
  <c r="AP46" s="1"/>
  <c r="AO45"/>
  <c r="AP45" s="1"/>
  <c r="AO44"/>
  <c r="AP44" s="1"/>
  <c r="AO43"/>
  <c r="AP43" s="1"/>
  <c r="AO42"/>
  <c r="AP42" s="1"/>
  <c r="AO41"/>
  <c r="AP41" s="1"/>
  <c r="AO40"/>
  <c r="AP40" s="1"/>
  <c r="AO39"/>
  <c r="AP39" s="1"/>
  <c r="AO38"/>
  <c r="AP38" s="1"/>
  <c r="AO37"/>
  <c r="AP37" s="1"/>
  <c r="AO36"/>
  <c r="AP36" s="1"/>
  <c r="AO35"/>
  <c r="AP35" s="1"/>
  <c r="AO33"/>
  <c r="AP33" s="1"/>
  <c r="AO31"/>
  <c r="AP31" s="1"/>
  <c r="AO29"/>
  <c r="AP29" s="1"/>
  <c r="AO27"/>
  <c r="AP27" s="1"/>
  <c r="AO25"/>
  <c r="AP25" s="1"/>
  <c r="AO23"/>
  <c r="AP23" s="1"/>
  <c r="AO21"/>
  <c r="AP21" s="1"/>
  <c r="AO19"/>
  <c r="AP19" s="1"/>
  <c r="AO17"/>
  <c r="AP17" s="1"/>
  <c r="AO15"/>
  <c r="AP15" s="1"/>
  <c r="AO12"/>
  <c r="AP12" s="1"/>
  <c r="AO10"/>
  <c r="AP10" s="1"/>
  <c r="AO8"/>
  <c r="AP8" s="1"/>
  <c r="AO6"/>
  <c r="AP6" s="1"/>
  <c r="AK66"/>
  <c r="AK67"/>
  <c r="AK68"/>
  <c r="AI66"/>
  <c r="AI67"/>
  <c r="AI68"/>
  <c r="AD68"/>
  <c r="Y68"/>
  <c r="W68"/>
  <c r="U68"/>
  <c r="W67"/>
  <c r="U67"/>
  <c r="M67"/>
  <c r="H67"/>
  <c r="W66"/>
  <c r="U66"/>
  <c r="AK62"/>
  <c r="AK63"/>
  <c r="AK64"/>
  <c r="AK65"/>
  <c r="AI62"/>
  <c r="AI63"/>
  <c r="AI64"/>
  <c r="AI65"/>
  <c r="AD65"/>
  <c r="Y65"/>
  <c r="W65"/>
  <c r="U65"/>
  <c r="M65"/>
  <c r="H65"/>
  <c r="W64"/>
  <c r="U64"/>
  <c r="W63"/>
  <c r="U63"/>
  <c r="W62"/>
  <c r="U62"/>
  <c r="AK58"/>
  <c r="AK59"/>
  <c r="AK60"/>
  <c r="AK61"/>
  <c r="AI58"/>
  <c r="AI59"/>
  <c r="AI60"/>
  <c r="AI61"/>
  <c r="AD61"/>
  <c r="Y61"/>
  <c r="W61"/>
  <c r="U61"/>
  <c r="M61"/>
  <c r="H61"/>
  <c r="W60"/>
  <c r="U60"/>
  <c r="W59"/>
  <c r="U59"/>
  <c r="W58"/>
  <c r="U58"/>
  <c r="AK47"/>
  <c r="AK48"/>
  <c r="AK49"/>
  <c r="AK50"/>
  <c r="AK51"/>
  <c r="AK52"/>
  <c r="AK53"/>
  <c r="AK54"/>
  <c r="AK55"/>
  <c r="AK56"/>
  <c r="AK57"/>
  <c r="AI47"/>
  <c r="AI48"/>
  <c r="AI49"/>
  <c r="AI50"/>
  <c r="AI51"/>
  <c r="AI52"/>
  <c r="AI53"/>
  <c r="AI54"/>
  <c r="AI55"/>
  <c r="AI56"/>
  <c r="AI57"/>
  <c r="Y57"/>
  <c r="W57"/>
  <c r="U57"/>
  <c r="K47"/>
  <c r="K50"/>
  <c r="H57"/>
  <c r="W56"/>
  <c r="U56"/>
  <c r="W55"/>
  <c r="U55"/>
  <c r="W54"/>
  <c r="U54"/>
  <c r="W53"/>
  <c r="U53"/>
  <c r="W52"/>
  <c r="U52"/>
  <c r="H52"/>
  <c r="W51"/>
  <c r="U51"/>
  <c r="W50"/>
  <c r="U50"/>
  <c r="W49"/>
  <c r="U49"/>
  <c r="W48"/>
  <c r="U48"/>
  <c r="W47"/>
  <c r="U47"/>
  <c r="AK41"/>
  <c r="AK42"/>
  <c r="AK43"/>
  <c r="AK44"/>
  <c r="AK45"/>
  <c r="AK46"/>
  <c r="AI41"/>
  <c r="AI42"/>
  <c r="AI43"/>
  <c r="AI44"/>
  <c r="AI45"/>
  <c r="AI46"/>
  <c r="AD46"/>
  <c r="Y46"/>
  <c r="W46"/>
  <c r="U46"/>
  <c r="K42"/>
  <c r="K44"/>
  <c r="G43"/>
  <c r="H46" s="1"/>
  <c r="W45"/>
  <c r="U45"/>
  <c r="L45"/>
  <c r="W44"/>
  <c r="U44"/>
  <c r="L44"/>
  <c r="W43"/>
  <c r="U43"/>
  <c r="L43"/>
  <c r="W42"/>
  <c r="U42"/>
  <c r="L42"/>
  <c r="W41"/>
  <c r="U41"/>
  <c r="AK35"/>
  <c r="AK36"/>
  <c r="AK37"/>
  <c r="AK38"/>
  <c r="AK39"/>
  <c r="AK40"/>
  <c r="AI35"/>
  <c r="AI36"/>
  <c r="AI37"/>
  <c r="AI38"/>
  <c r="AI39"/>
  <c r="AI40"/>
  <c r="AD40"/>
  <c r="Y40"/>
  <c r="W40"/>
  <c r="U40"/>
  <c r="M40"/>
  <c r="W39"/>
  <c r="U39"/>
  <c r="W38"/>
  <c r="U38"/>
  <c r="W37"/>
  <c r="U37"/>
  <c r="W36"/>
  <c r="U36"/>
  <c r="W35"/>
  <c r="U35"/>
  <c r="AK27"/>
  <c r="AK29"/>
  <c r="AK31"/>
  <c r="AK33"/>
  <c r="AK34"/>
  <c r="AI27"/>
  <c r="AI29"/>
  <c r="AI31"/>
  <c r="AI33"/>
  <c r="AI34"/>
  <c r="AC27"/>
  <c r="AC29"/>
  <c r="AC31"/>
  <c r="AC33"/>
  <c r="AC34"/>
  <c r="Y34"/>
  <c r="W34"/>
  <c r="U34"/>
  <c r="M34"/>
  <c r="H34"/>
  <c r="W33"/>
  <c r="U33"/>
  <c r="W31"/>
  <c r="U31"/>
  <c r="W29"/>
  <c r="U29"/>
  <c r="W27"/>
  <c r="U27"/>
  <c r="AK15"/>
  <c r="AK17"/>
  <c r="AK19"/>
  <c r="AK21"/>
  <c r="AK23"/>
  <c r="AK25"/>
  <c r="AJ26"/>
  <c r="AC15"/>
  <c r="AC17"/>
  <c r="AC19"/>
  <c r="AC21"/>
  <c r="AC23"/>
  <c r="Y26"/>
  <c r="W25"/>
  <c r="U25"/>
  <c r="M25"/>
  <c r="H25"/>
  <c r="W23"/>
  <c r="U23"/>
  <c r="W21"/>
  <c r="U21"/>
  <c r="W19"/>
  <c r="U19"/>
  <c r="W17"/>
  <c r="U17"/>
  <c r="W15"/>
  <c r="U15"/>
  <c r="AK6"/>
  <c r="AK8"/>
  <c r="AK10"/>
  <c r="AK12"/>
  <c r="X14"/>
  <c r="AO14" s="1"/>
  <c r="AP14" s="1"/>
  <c r="AI14"/>
  <c r="AJ14" s="1"/>
  <c r="AD14"/>
  <c r="AB14"/>
  <c r="AA14"/>
  <c r="L14"/>
  <c r="G14"/>
  <c r="M13"/>
  <c r="H13"/>
  <c r="W12"/>
  <c r="U12"/>
  <c r="W10"/>
  <c r="U10"/>
  <c r="W8"/>
  <c r="U8"/>
  <c r="W6"/>
  <c r="U6"/>
  <c r="AJ65" l="1"/>
  <c r="AJ68"/>
  <c r="M46"/>
  <c r="AD57"/>
  <c r="M57"/>
  <c r="AJ61"/>
  <c r="AL61"/>
  <c r="AJ57"/>
  <c r="AL68"/>
  <c r="AJ46"/>
  <c r="Y14"/>
  <c r="AD26"/>
  <c r="AL57"/>
  <c r="AL34"/>
  <c r="AL26"/>
  <c r="AJ34"/>
  <c r="AL46"/>
  <c r="AL65"/>
  <c r="AD34"/>
  <c r="AL40"/>
  <c r="AJ40"/>
  <c r="AK14"/>
  <c r="AL14" s="1"/>
</calcChain>
</file>

<file path=xl/sharedStrings.xml><?xml version="1.0" encoding="utf-8"?>
<sst xmlns="http://schemas.openxmlformats.org/spreadsheetml/2006/main" count="451" uniqueCount="94">
  <si>
    <t>Allen's Hulse Point</t>
  </si>
  <si>
    <t>Total</t>
  </si>
  <si>
    <t>Secchi</t>
  </si>
  <si>
    <t>Measurement</t>
  </si>
  <si>
    <t>Wind</t>
  </si>
  <si>
    <t>Water</t>
  </si>
  <si>
    <t>Salinity</t>
  </si>
  <si>
    <t>Chl-a</t>
  </si>
  <si>
    <t>Phaeo</t>
  </si>
  <si>
    <t>TN</t>
  </si>
  <si>
    <t>Station No.</t>
  </si>
  <si>
    <t>Depth ID</t>
  </si>
  <si>
    <t>Alternate Name</t>
  </si>
  <si>
    <t>Time</t>
  </si>
  <si>
    <t>Depth (m)</t>
  </si>
  <si>
    <t xml:space="preserve"> Depth (m)</t>
  </si>
  <si>
    <t>Mean</t>
  </si>
  <si>
    <t>Temp C</t>
  </si>
  <si>
    <t>D.O. mg/L</t>
  </si>
  <si>
    <t>% D.O.</t>
  </si>
  <si>
    <t>Weather</t>
  </si>
  <si>
    <t>Beaufort</t>
  </si>
  <si>
    <t>Direction</t>
  </si>
  <si>
    <t>Water Condition</t>
  </si>
  <si>
    <t>(ppt)</t>
  </si>
  <si>
    <r>
      <t>uM PO</t>
    </r>
    <r>
      <rPr>
        <b/>
        <u/>
        <vertAlign val="subscript"/>
        <sz val="10"/>
        <rFont val="Arial"/>
        <family val="2"/>
      </rPr>
      <t>4</t>
    </r>
    <r>
      <rPr>
        <b/>
        <u/>
        <vertAlign val="superscript"/>
        <sz val="10"/>
        <rFont val="Arial"/>
        <family val="2"/>
      </rPr>
      <t>3-</t>
    </r>
  </si>
  <si>
    <r>
      <t>uM NH</t>
    </r>
    <r>
      <rPr>
        <b/>
        <u/>
        <vertAlign val="subscript"/>
        <sz val="10"/>
        <rFont val="Arial"/>
        <family val="2"/>
      </rPr>
      <t>4</t>
    </r>
    <r>
      <rPr>
        <b/>
        <u/>
        <vertAlign val="superscript"/>
        <sz val="10"/>
        <rFont val="Arial"/>
        <family val="2"/>
      </rPr>
      <t>+</t>
    </r>
  </si>
  <si>
    <t>mg/L NH4</t>
  </si>
  <si>
    <r>
      <t>uM NO</t>
    </r>
    <r>
      <rPr>
        <b/>
        <u/>
        <vertAlign val="subscript"/>
        <sz val="10"/>
        <rFont val="Arial"/>
        <family val="2"/>
      </rPr>
      <t>x</t>
    </r>
  </si>
  <si>
    <t>mg/L NO3</t>
  </si>
  <si>
    <t>uM DIN</t>
  </si>
  <si>
    <t>uM DON</t>
  </si>
  <si>
    <t>ug/L</t>
  </si>
  <si>
    <t>Ratio</t>
  </si>
  <si>
    <t>POC (uM)</t>
  </si>
  <si>
    <t>PON (uM)</t>
  </si>
  <si>
    <t>TON (uM)</t>
  </si>
  <si>
    <t>TON (mg/L)</t>
  </si>
  <si>
    <t>C/N Ratio</t>
  </si>
  <si>
    <t>(uM)</t>
  </si>
  <si>
    <t>4A</t>
  </si>
  <si>
    <t>S</t>
  </si>
  <si>
    <t>Clear</t>
  </si>
  <si>
    <t>NW</t>
  </si>
  <si>
    <t>Clear, Foam</t>
  </si>
  <si>
    <t>M</t>
  </si>
  <si>
    <t>Partly Cloudy</t>
  </si>
  <si>
    <t>N / NE</t>
  </si>
  <si>
    <t>Clear, cloudy</t>
  </si>
  <si>
    <t>Overcast</t>
  </si>
  <si>
    <t>SW</t>
  </si>
  <si>
    <t>Clear, Muddy</t>
  </si>
  <si>
    <t>B</t>
  </si>
  <si>
    <t>2 - 3</t>
  </si>
  <si>
    <t>3</t>
  </si>
  <si>
    <t>0 - 1</t>
  </si>
  <si>
    <t>4</t>
  </si>
  <si>
    <t>1 -2</t>
  </si>
  <si>
    <t>0-1</t>
  </si>
  <si>
    <t>NE</t>
  </si>
  <si>
    <t>2</t>
  </si>
  <si>
    <t xml:space="preserve">N </t>
  </si>
  <si>
    <t>1</t>
  </si>
  <si>
    <t>Muddy</t>
  </si>
  <si>
    <t>Fog/Haze</t>
  </si>
  <si>
    <t>Cloudy, foam</t>
  </si>
  <si>
    <t>2-3</t>
  </si>
  <si>
    <t>Clear, foam</t>
  </si>
  <si>
    <t>E, SE</t>
  </si>
  <si>
    <t>6</t>
  </si>
  <si>
    <t>Cloudy</t>
  </si>
  <si>
    <t>28. 7</t>
  </si>
  <si>
    <t>0</t>
  </si>
  <si>
    <t>ND</t>
  </si>
  <si>
    <t>N</t>
  </si>
  <si>
    <t>2,1</t>
  </si>
  <si>
    <t>clear</t>
  </si>
  <si>
    <t>cloudy</t>
  </si>
  <si>
    <t>overcast</t>
  </si>
  <si>
    <t>Chl A</t>
  </si>
  <si>
    <t>Mean (D.O.)</t>
  </si>
  <si>
    <t>TDN (mg/L)</t>
  </si>
  <si>
    <t>1,5</t>
  </si>
  <si>
    <t>39,9</t>
  </si>
  <si>
    <t>muddy</t>
  </si>
  <si>
    <t>E</t>
  </si>
  <si>
    <t>(mg/L)</t>
  </si>
  <si>
    <t>N/A</t>
  </si>
  <si>
    <t>TDN</t>
  </si>
  <si>
    <t>CLEAR</t>
  </si>
  <si>
    <t>SE</t>
  </si>
  <si>
    <t>machine error</t>
  </si>
  <si>
    <t>Sum</t>
  </si>
  <si>
    <t>Ave</t>
  </si>
</sst>
</file>

<file path=xl/styles.xml><?xml version="1.0" encoding="utf-8"?>
<styleSheet xmlns="http://schemas.openxmlformats.org/spreadsheetml/2006/main">
  <numFmts count="5">
    <numFmt numFmtId="164" formatCode="m/d/yy;@"/>
    <numFmt numFmtId="165" formatCode="0.0"/>
    <numFmt numFmtId="166" formatCode="0.0000"/>
    <numFmt numFmtId="168" formatCode="h:mm;@"/>
    <numFmt numFmtId="169" formatCode="0.0%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vertAlign val="subscript"/>
      <sz val="10"/>
      <name val="Arial"/>
      <family val="2"/>
    </font>
    <font>
      <b/>
      <u/>
      <vertAlign val="superscript"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20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5" fontId="0" fillId="0" borderId="0" xfId="0" applyNumberFormat="1"/>
    <xf numFmtId="2" fontId="0" fillId="0" borderId="0" xfId="0" applyNumberFormat="1"/>
    <xf numFmtId="1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Fill="1" applyBorder="1" applyAlignment="1" applyProtection="1">
      <alignment horizontal="center"/>
    </xf>
    <xf numFmtId="2" fontId="0" fillId="0" borderId="0" xfId="1" applyNumberFormat="1" applyFont="1" applyFill="1" applyBorder="1" applyAlignment="1" applyProtection="1">
      <alignment horizontal="center"/>
    </xf>
    <xf numFmtId="2" fontId="0" fillId="0" borderId="0" xfId="1" applyNumberFormat="1" applyFont="1" applyBorder="1" applyAlignment="1" applyProtection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 applyBorder="1" applyAlignment="1">
      <alignment horizontal="center"/>
    </xf>
    <xf numFmtId="2" fontId="7" fillId="0" borderId="0" xfId="0" quotePrefix="1" applyNumberFormat="1" applyFont="1" applyBorder="1" applyAlignment="1">
      <alignment horizontal="center"/>
    </xf>
    <xf numFmtId="165" fontId="7" fillId="0" borderId="0" xfId="0" quotePrefix="1" applyNumberFormat="1" applyFon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2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8" fontId="7" fillId="0" borderId="0" xfId="0" applyNumberFormat="1" applyFont="1" applyAlignment="1">
      <alignment horizontal="center"/>
    </xf>
    <xf numFmtId="165" fontId="0" fillId="0" borderId="0" xfId="0" applyNumberFormat="1" applyAlignment="1" applyProtection="1">
      <alignment horizontal="center"/>
      <protection locked="0"/>
    </xf>
    <xf numFmtId="165" fontId="0" fillId="0" borderId="0" xfId="0" quotePrefix="1" applyNumberFormat="1" applyFill="1" applyBorder="1" applyAlignment="1" applyProtection="1">
      <alignment horizontal="center"/>
    </xf>
    <xf numFmtId="2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 applyProtection="1">
      <alignment horizontal="center"/>
      <protection locked="0"/>
    </xf>
    <xf numFmtId="165" fontId="7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0" xfId="0" quotePrefix="1" applyNumberFormat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169" fontId="1" fillId="0" borderId="0" xfId="1" applyNumberFormat="1" applyFont="1" applyFill="1" applyAlignment="1">
      <alignment horizontal="center"/>
    </xf>
    <xf numFmtId="165" fontId="1" fillId="0" borderId="0" xfId="1" quotePrefix="1" applyNumberFormat="1" applyFont="1" applyFill="1" applyBorder="1" applyAlignment="1" applyProtection="1">
      <alignment horizontal="center"/>
    </xf>
    <xf numFmtId="2" fontId="1" fillId="0" borderId="0" xfId="1" quotePrefix="1" applyNumberFormat="1" applyFont="1" applyFill="1" applyBorder="1" applyAlignment="1" applyProtection="1">
      <alignment horizontal="center"/>
    </xf>
    <xf numFmtId="9" fontId="0" fillId="0" borderId="0" xfId="0" applyNumberForma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Allen's Hulse Pont
Total Nitrogen (mg/L)</a:t>
            </a:r>
          </a:p>
        </c:rich>
      </c:tx>
      <c:layout>
        <c:manualLayout>
          <c:xMode val="edge"/>
          <c:yMode val="edge"/>
          <c:x val="0.40732519422863528"/>
          <c:y val="1.95758564437194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6200517943026259E-2"/>
          <c:y val="1.3050570962479609E-2"/>
          <c:w val="0.88013318534961027"/>
          <c:h val="0.77650897226753768"/>
        </c:manualLayout>
      </c:layout>
      <c:scatterChart>
        <c:scatterStyle val="lineMarker"/>
        <c:ser>
          <c:idx val="0"/>
          <c:order val="0"/>
          <c:tx>
            <c:strRef>
              <c:f>Sheet1!$AP$4</c:f>
              <c:strCache>
                <c:ptCount val="1"/>
                <c:pt idx="0">
                  <c:v>TN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Sheet1!$D$5:$D$79</c:f>
              <c:numCache>
                <c:formatCode>m/d/yy;@</c:formatCode>
                <c:ptCount val="75"/>
                <c:pt idx="1">
                  <c:v>37448</c:v>
                </c:pt>
                <c:pt idx="2">
                  <c:v>37448</c:v>
                </c:pt>
                <c:pt idx="3">
                  <c:v>37462</c:v>
                </c:pt>
                <c:pt idx="4">
                  <c:v>37462</c:v>
                </c:pt>
                <c:pt idx="5">
                  <c:v>37481</c:v>
                </c:pt>
                <c:pt idx="6">
                  <c:v>37481</c:v>
                </c:pt>
                <c:pt idx="7">
                  <c:v>37525</c:v>
                </c:pt>
                <c:pt idx="8">
                  <c:v>37525</c:v>
                </c:pt>
                <c:pt idx="9">
                  <c:v>37525</c:v>
                </c:pt>
                <c:pt idx="10">
                  <c:v>37790</c:v>
                </c:pt>
                <c:pt idx="11">
                  <c:v>37790</c:v>
                </c:pt>
                <c:pt idx="12">
                  <c:v>37805</c:v>
                </c:pt>
                <c:pt idx="13">
                  <c:v>37805</c:v>
                </c:pt>
                <c:pt idx="14">
                  <c:v>37819</c:v>
                </c:pt>
                <c:pt idx="15">
                  <c:v>37819</c:v>
                </c:pt>
                <c:pt idx="16">
                  <c:v>37838</c:v>
                </c:pt>
                <c:pt idx="17">
                  <c:v>37838</c:v>
                </c:pt>
                <c:pt idx="18">
                  <c:v>37852</c:v>
                </c:pt>
                <c:pt idx="19">
                  <c:v>37852</c:v>
                </c:pt>
                <c:pt idx="20">
                  <c:v>37867</c:v>
                </c:pt>
                <c:pt idx="21">
                  <c:v>37867</c:v>
                </c:pt>
                <c:pt idx="22">
                  <c:v>38161</c:v>
                </c:pt>
                <c:pt idx="23">
                  <c:v>38161</c:v>
                </c:pt>
                <c:pt idx="24">
                  <c:v>38175</c:v>
                </c:pt>
                <c:pt idx="25">
                  <c:v>38175</c:v>
                </c:pt>
                <c:pt idx="26">
                  <c:v>38190</c:v>
                </c:pt>
                <c:pt idx="27">
                  <c:v>38190</c:v>
                </c:pt>
                <c:pt idx="28">
                  <c:v>38218</c:v>
                </c:pt>
                <c:pt idx="29">
                  <c:v>38237</c:v>
                </c:pt>
                <c:pt idx="30">
                  <c:v>38517</c:v>
                </c:pt>
                <c:pt idx="31">
                  <c:v>38546</c:v>
                </c:pt>
                <c:pt idx="32">
                  <c:v>38559</c:v>
                </c:pt>
                <c:pt idx="33">
                  <c:v>38574</c:v>
                </c:pt>
                <c:pt idx="34">
                  <c:v>38588</c:v>
                </c:pt>
                <c:pt idx="35">
                  <c:v>38603</c:v>
                </c:pt>
                <c:pt idx="36">
                  <c:v>38888</c:v>
                </c:pt>
                <c:pt idx="37">
                  <c:v>38903</c:v>
                </c:pt>
                <c:pt idx="38">
                  <c:v>38917</c:v>
                </c:pt>
                <c:pt idx="39">
                  <c:v>38931</c:v>
                </c:pt>
                <c:pt idx="40">
                  <c:v>38945</c:v>
                </c:pt>
                <c:pt idx="41">
                  <c:v>38973</c:v>
                </c:pt>
                <c:pt idx="42">
                  <c:v>39254</c:v>
                </c:pt>
                <c:pt idx="43">
                  <c:v>39268</c:v>
                </c:pt>
                <c:pt idx="44">
                  <c:v>39282</c:v>
                </c:pt>
                <c:pt idx="45">
                  <c:v>39301</c:v>
                </c:pt>
                <c:pt idx="46">
                  <c:v>39315</c:v>
                </c:pt>
                <c:pt idx="47">
                  <c:v>39343</c:v>
                </c:pt>
                <c:pt idx="48">
                  <c:v>39638</c:v>
                </c:pt>
                <c:pt idx="49">
                  <c:v>39653</c:v>
                </c:pt>
                <c:pt idx="50">
                  <c:v>39667</c:v>
                </c:pt>
                <c:pt idx="51">
                  <c:v>39686</c:v>
                </c:pt>
                <c:pt idx="52">
                  <c:v>39700</c:v>
                </c:pt>
                <c:pt idx="53">
                  <c:v>40008</c:v>
                </c:pt>
                <c:pt idx="54">
                  <c:v>40022</c:v>
                </c:pt>
                <c:pt idx="55">
                  <c:v>40037</c:v>
                </c:pt>
                <c:pt idx="56">
                  <c:v>40051</c:v>
                </c:pt>
                <c:pt idx="57">
                  <c:v>40360</c:v>
                </c:pt>
                <c:pt idx="58">
                  <c:v>40374</c:v>
                </c:pt>
                <c:pt idx="59">
                  <c:v>40393</c:v>
                </c:pt>
                <c:pt idx="60">
                  <c:v>40407</c:v>
                </c:pt>
                <c:pt idx="61">
                  <c:v>40731</c:v>
                </c:pt>
                <c:pt idx="62">
                  <c:v>40759</c:v>
                </c:pt>
                <c:pt idx="63">
                  <c:v>40773</c:v>
                </c:pt>
                <c:pt idx="64">
                  <c:v>41101</c:v>
                </c:pt>
                <c:pt idx="65">
                  <c:v>41115</c:v>
                </c:pt>
                <c:pt idx="66">
                  <c:v>41129</c:v>
                </c:pt>
                <c:pt idx="67">
                  <c:v>41143</c:v>
                </c:pt>
                <c:pt idx="68">
                  <c:v>41466</c:v>
                </c:pt>
                <c:pt idx="69">
                  <c:v>41480</c:v>
                </c:pt>
                <c:pt idx="70">
                  <c:v>41499</c:v>
                </c:pt>
                <c:pt idx="71">
                  <c:v>41836</c:v>
                </c:pt>
                <c:pt idx="72">
                  <c:v>41851</c:v>
                </c:pt>
                <c:pt idx="73">
                  <c:v>41865</c:v>
                </c:pt>
                <c:pt idx="74">
                  <c:v>41879</c:v>
                </c:pt>
              </c:numCache>
            </c:numRef>
          </c:xVal>
          <c:yVal>
            <c:numRef>
              <c:f>Sheet1!$AP$5:$AP$79</c:f>
              <c:numCache>
                <c:formatCode>0.00</c:formatCode>
                <c:ptCount val="75"/>
                <c:pt idx="0">
                  <c:v>0</c:v>
                </c:pt>
                <c:pt idx="1">
                  <c:v>0.43530675810506614</c:v>
                </c:pt>
                <c:pt idx="3">
                  <c:v>0.53536476060366034</c:v>
                </c:pt>
                <c:pt idx="5">
                  <c:v>0.61934734039753137</c:v>
                </c:pt>
                <c:pt idx="7">
                  <c:v>0.47249561191348355</c:v>
                </c:pt>
                <c:pt idx="9">
                  <c:v>3.7184932669526875E-2</c:v>
                </c:pt>
                <c:pt idx="10">
                  <c:v>0.37940000000000002</c:v>
                </c:pt>
                <c:pt idx="12">
                  <c:v>0.22820000000000001</c:v>
                </c:pt>
                <c:pt idx="14">
                  <c:v>0.5544</c:v>
                </c:pt>
                <c:pt idx="16">
                  <c:v>0.56839999999999991</c:v>
                </c:pt>
                <c:pt idx="18">
                  <c:v>0.3654</c:v>
                </c:pt>
                <c:pt idx="20">
                  <c:v>0.76300000000000001</c:v>
                </c:pt>
                <c:pt idx="22">
                  <c:v>0.44828000000000007</c:v>
                </c:pt>
                <c:pt idx="24">
                  <c:v>0.33782000000000001</c:v>
                </c:pt>
                <c:pt idx="26">
                  <c:v>0.44324000000000002</c:v>
                </c:pt>
                <c:pt idx="28">
                  <c:v>0.46830000000000005</c:v>
                </c:pt>
                <c:pt idx="30">
                  <c:v>0.47949228449297049</c:v>
                </c:pt>
                <c:pt idx="31">
                  <c:v>0.35970547162082511</c:v>
                </c:pt>
                <c:pt idx="32">
                  <c:v>0.47650424857472407</c:v>
                </c:pt>
                <c:pt idx="33">
                  <c:v>0.61351560717081144</c:v>
                </c:pt>
                <c:pt idx="34">
                  <c:v>0.40564003717969604</c:v>
                </c:pt>
                <c:pt idx="35">
                  <c:v>0.505556937433424</c:v>
                </c:pt>
                <c:pt idx="36">
                  <c:v>1.2409036908077382</c:v>
                </c:pt>
                <c:pt idx="37">
                  <c:v>1.7910799962020767</c:v>
                </c:pt>
                <c:pt idx="38">
                  <c:v>1.1277080603665224</c:v>
                </c:pt>
                <c:pt idx="39">
                  <c:v>1.3283001351023493</c:v>
                </c:pt>
                <c:pt idx="40">
                  <c:v>1.0633137433796327</c:v>
                </c:pt>
                <c:pt idx="41">
                  <c:v>0.13613913071931438</c:v>
                </c:pt>
                <c:pt idx="42">
                  <c:v>1.1379045096899909</c:v>
                </c:pt>
                <c:pt idx="43">
                  <c:v>1.6982688199565148</c:v>
                </c:pt>
                <c:pt idx="44">
                  <c:v>0.74663539082115216</c:v>
                </c:pt>
                <c:pt idx="45">
                  <c:v>3.2682611580413319</c:v>
                </c:pt>
                <c:pt idx="46">
                  <c:v>1.054983656799779</c:v>
                </c:pt>
                <c:pt idx="47">
                  <c:v>0.60858639967487882</c:v>
                </c:pt>
                <c:pt idx="48">
                  <c:v>0.87148128188613505</c:v>
                </c:pt>
                <c:pt idx="49">
                  <c:v>0.89481323854045847</c:v>
                </c:pt>
                <c:pt idx="50">
                  <c:v>0.79818948076084684</c:v>
                </c:pt>
                <c:pt idx="51">
                  <c:v>0.58213448192888595</c:v>
                </c:pt>
                <c:pt idx="52">
                  <c:v>0.82587072137595396</c:v>
                </c:pt>
                <c:pt idx="53">
                  <c:v>0.69367883406978248</c:v>
                </c:pt>
                <c:pt idx="54">
                  <c:v>0.64837893211157394</c:v>
                </c:pt>
                <c:pt idx="55">
                  <c:v>1.3721625274456088</c:v>
                </c:pt>
                <c:pt idx="56">
                  <c:v>0.73437235449198324</c:v>
                </c:pt>
                <c:pt idx="57">
                  <c:v>0.81742568157110551</c:v>
                </c:pt>
                <c:pt idx="58">
                  <c:v>0.60872493174653675</c:v>
                </c:pt>
                <c:pt idx="59">
                  <c:v>0.89190664733342684</c:v>
                </c:pt>
                <c:pt idx="60">
                  <c:v>0.87502949030377997</c:v>
                </c:pt>
                <c:pt idx="61">
                  <c:v>0.63586000553983979</c:v>
                </c:pt>
                <c:pt idx="62">
                  <c:v>1.0507972398710501</c:v>
                </c:pt>
                <c:pt idx="63">
                  <c:v>0.91791466947070399</c:v>
                </c:pt>
                <c:pt idx="64">
                  <c:v>0.5565106959716789</c:v>
                </c:pt>
                <c:pt idx="65">
                  <c:v>0.89091577260613364</c:v>
                </c:pt>
                <c:pt idx="66">
                  <c:v>0.66835003745286869</c:v>
                </c:pt>
                <c:pt idx="67">
                  <c:v>0.73137468420402729</c:v>
                </c:pt>
                <c:pt idx="68">
                  <c:v>0.97837362142129525</c:v>
                </c:pt>
                <c:pt idx="69">
                  <c:v>0.79331973111389187</c:v>
                </c:pt>
                <c:pt idx="70">
                  <c:v>0.55441500798343268</c:v>
                </c:pt>
                <c:pt idx="71">
                  <c:v>1.0204391782960875</c:v>
                </c:pt>
                <c:pt idx="72">
                  <c:v>0.55349520062157587</c:v>
                </c:pt>
                <c:pt idx="74">
                  <c:v>0.57115878052788105</c:v>
                </c:pt>
              </c:numCache>
            </c:numRef>
          </c:yVal>
        </c:ser>
        <c:axId val="56159616"/>
        <c:axId val="109399424"/>
      </c:scatterChart>
      <c:valAx>
        <c:axId val="56159616"/>
        <c:scaling>
          <c:orientation val="minMax"/>
        </c:scaling>
        <c:axPos val="b"/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399424"/>
        <c:crosses val="autoZero"/>
        <c:crossBetween val="midCat"/>
      </c:valAx>
      <c:valAx>
        <c:axId val="109399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1549755301794353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5961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512393636699963E-2"/>
          <c:y val="3.4257748776509014E-2"/>
          <c:w val="0.90677025527192012"/>
          <c:h val="0.89885807504078363"/>
        </c:manualLayout>
      </c:layout>
      <c:scatterChart>
        <c:scatterStyle val="lineMarker"/>
        <c:ser>
          <c:idx val="0"/>
          <c:order val="0"/>
          <c:tx>
            <c:strRef>
              <c:f>Sheet1!$AC$5</c:f>
              <c:strCache>
                <c:ptCount val="1"/>
                <c:pt idx="0">
                  <c:v>Chl 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Sheet1!$D$6:$D$79</c:f>
              <c:numCache>
                <c:formatCode>m/d/yy;@</c:formatCode>
                <c:ptCount val="74"/>
                <c:pt idx="0">
                  <c:v>37448</c:v>
                </c:pt>
                <c:pt idx="1">
                  <c:v>37448</c:v>
                </c:pt>
                <c:pt idx="2">
                  <c:v>37462</c:v>
                </c:pt>
                <c:pt idx="3">
                  <c:v>37462</c:v>
                </c:pt>
                <c:pt idx="4">
                  <c:v>37481</c:v>
                </c:pt>
                <c:pt idx="5">
                  <c:v>37481</c:v>
                </c:pt>
                <c:pt idx="6">
                  <c:v>37525</c:v>
                </c:pt>
                <c:pt idx="7">
                  <c:v>37525</c:v>
                </c:pt>
                <c:pt idx="8">
                  <c:v>37525</c:v>
                </c:pt>
                <c:pt idx="9">
                  <c:v>37790</c:v>
                </c:pt>
                <c:pt idx="10">
                  <c:v>37790</c:v>
                </c:pt>
                <c:pt idx="11">
                  <c:v>37805</c:v>
                </c:pt>
                <c:pt idx="12">
                  <c:v>37805</c:v>
                </c:pt>
                <c:pt idx="13">
                  <c:v>37819</c:v>
                </c:pt>
                <c:pt idx="14">
                  <c:v>37819</c:v>
                </c:pt>
                <c:pt idx="15">
                  <c:v>37838</c:v>
                </c:pt>
                <c:pt idx="16">
                  <c:v>37838</c:v>
                </c:pt>
                <c:pt idx="17">
                  <c:v>37852</c:v>
                </c:pt>
                <c:pt idx="18">
                  <c:v>37852</c:v>
                </c:pt>
                <c:pt idx="19">
                  <c:v>37867</c:v>
                </c:pt>
                <c:pt idx="20">
                  <c:v>37867</c:v>
                </c:pt>
                <c:pt idx="21">
                  <c:v>38161</c:v>
                </c:pt>
                <c:pt idx="22">
                  <c:v>38161</c:v>
                </c:pt>
                <c:pt idx="23">
                  <c:v>38175</c:v>
                </c:pt>
                <c:pt idx="24">
                  <c:v>38175</c:v>
                </c:pt>
                <c:pt idx="25">
                  <c:v>38190</c:v>
                </c:pt>
                <c:pt idx="26">
                  <c:v>38190</c:v>
                </c:pt>
                <c:pt idx="27">
                  <c:v>38218</c:v>
                </c:pt>
                <c:pt idx="28">
                  <c:v>38237</c:v>
                </c:pt>
                <c:pt idx="29">
                  <c:v>38517</c:v>
                </c:pt>
                <c:pt idx="30">
                  <c:v>38546</c:v>
                </c:pt>
                <c:pt idx="31">
                  <c:v>38559</c:v>
                </c:pt>
                <c:pt idx="32">
                  <c:v>38574</c:v>
                </c:pt>
                <c:pt idx="33">
                  <c:v>38588</c:v>
                </c:pt>
                <c:pt idx="34">
                  <c:v>38603</c:v>
                </c:pt>
                <c:pt idx="35">
                  <c:v>38888</c:v>
                </c:pt>
                <c:pt idx="36">
                  <c:v>38903</c:v>
                </c:pt>
                <c:pt idx="37">
                  <c:v>38917</c:v>
                </c:pt>
                <c:pt idx="38">
                  <c:v>38931</c:v>
                </c:pt>
                <c:pt idx="39">
                  <c:v>38945</c:v>
                </c:pt>
                <c:pt idx="40">
                  <c:v>38973</c:v>
                </c:pt>
                <c:pt idx="41">
                  <c:v>39254</c:v>
                </c:pt>
                <c:pt idx="42">
                  <c:v>39268</c:v>
                </c:pt>
                <c:pt idx="43">
                  <c:v>39282</c:v>
                </c:pt>
                <c:pt idx="44">
                  <c:v>39301</c:v>
                </c:pt>
                <c:pt idx="45">
                  <c:v>39315</c:v>
                </c:pt>
                <c:pt idx="46">
                  <c:v>39343</c:v>
                </c:pt>
                <c:pt idx="47">
                  <c:v>39638</c:v>
                </c:pt>
                <c:pt idx="48">
                  <c:v>39653</c:v>
                </c:pt>
                <c:pt idx="49">
                  <c:v>39667</c:v>
                </c:pt>
                <c:pt idx="50">
                  <c:v>39686</c:v>
                </c:pt>
                <c:pt idx="51">
                  <c:v>39700</c:v>
                </c:pt>
                <c:pt idx="52">
                  <c:v>40008</c:v>
                </c:pt>
                <c:pt idx="53">
                  <c:v>40022</c:v>
                </c:pt>
                <c:pt idx="54">
                  <c:v>40037</c:v>
                </c:pt>
                <c:pt idx="55">
                  <c:v>40051</c:v>
                </c:pt>
                <c:pt idx="56">
                  <c:v>40360</c:v>
                </c:pt>
                <c:pt idx="57">
                  <c:v>40374</c:v>
                </c:pt>
                <c:pt idx="58">
                  <c:v>40393</c:v>
                </c:pt>
                <c:pt idx="59">
                  <c:v>40407</c:v>
                </c:pt>
                <c:pt idx="60">
                  <c:v>40731</c:v>
                </c:pt>
                <c:pt idx="61">
                  <c:v>40759</c:v>
                </c:pt>
                <c:pt idx="62">
                  <c:v>40773</c:v>
                </c:pt>
                <c:pt idx="63">
                  <c:v>41101</c:v>
                </c:pt>
                <c:pt idx="64">
                  <c:v>41115</c:v>
                </c:pt>
                <c:pt idx="65">
                  <c:v>41129</c:v>
                </c:pt>
                <c:pt idx="66">
                  <c:v>41143</c:v>
                </c:pt>
                <c:pt idx="67">
                  <c:v>41466</c:v>
                </c:pt>
                <c:pt idx="68">
                  <c:v>41480</c:v>
                </c:pt>
                <c:pt idx="69">
                  <c:v>41499</c:v>
                </c:pt>
                <c:pt idx="70">
                  <c:v>41836</c:v>
                </c:pt>
                <c:pt idx="71">
                  <c:v>41851</c:v>
                </c:pt>
                <c:pt idx="72">
                  <c:v>41865</c:v>
                </c:pt>
                <c:pt idx="73">
                  <c:v>41879</c:v>
                </c:pt>
              </c:numCache>
            </c:numRef>
          </c:xVal>
          <c:yVal>
            <c:numRef>
              <c:f>Sheet1!$AC$6:$AC$79</c:f>
              <c:numCache>
                <c:formatCode>0.0</c:formatCode>
                <c:ptCount val="74"/>
                <c:pt idx="0">
                  <c:v>5.85</c:v>
                </c:pt>
                <c:pt idx="2">
                  <c:v>7.73</c:v>
                </c:pt>
                <c:pt idx="4">
                  <c:v>7.86</c:v>
                </c:pt>
                <c:pt idx="6">
                  <c:v>4.2300000000000004</c:v>
                </c:pt>
                <c:pt idx="8">
                  <c:v>3.21</c:v>
                </c:pt>
                <c:pt idx="9">
                  <c:v>3.9699999999999998</c:v>
                </c:pt>
                <c:pt idx="11">
                  <c:v>10.59</c:v>
                </c:pt>
                <c:pt idx="13">
                  <c:v>6.05</c:v>
                </c:pt>
                <c:pt idx="15">
                  <c:v>7.9</c:v>
                </c:pt>
                <c:pt idx="17">
                  <c:v>4.3</c:v>
                </c:pt>
                <c:pt idx="19">
                  <c:v>4.5999999999999996</c:v>
                </c:pt>
                <c:pt idx="21">
                  <c:v>3.47</c:v>
                </c:pt>
                <c:pt idx="23">
                  <c:v>8.17</c:v>
                </c:pt>
                <c:pt idx="25">
                  <c:v>10.91</c:v>
                </c:pt>
                <c:pt idx="27">
                  <c:v>7.92</c:v>
                </c:pt>
                <c:pt idx="28">
                  <c:v>4.54</c:v>
                </c:pt>
                <c:pt idx="29">
                  <c:v>3.5826440598958325</c:v>
                </c:pt>
                <c:pt idx="30">
                  <c:v>6.7820143098958354</c:v>
                </c:pt>
                <c:pt idx="31">
                  <c:v>9.0179491236853302</c:v>
                </c:pt>
                <c:pt idx="32">
                  <c:v>9.27935310862199</c:v>
                </c:pt>
                <c:pt idx="33">
                  <c:v>9.9953727195354531</c:v>
                </c:pt>
                <c:pt idx="34">
                  <c:v>11.62810506830357</c:v>
                </c:pt>
                <c:pt idx="35">
                  <c:v>7.0047356062499988</c:v>
                </c:pt>
                <c:pt idx="36">
                  <c:v>11.7549095828125</c:v>
                </c:pt>
                <c:pt idx="37">
                  <c:v>8.9387845312500005</c:v>
                </c:pt>
                <c:pt idx="38">
                  <c:v>14.655040732812498</c:v>
                </c:pt>
                <c:pt idx="39">
                  <c:v>5.5807445312500024</c:v>
                </c:pt>
                <c:pt idx="40">
                  <c:v>6.4446151260416675</c:v>
                </c:pt>
                <c:pt idx="41">
                  <c:v>5.2010478666666664</c:v>
                </c:pt>
                <c:pt idx="42">
                  <c:v>10.603983866666667</c:v>
                </c:pt>
                <c:pt idx="43">
                  <c:v>9.369027066666666</c:v>
                </c:pt>
                <c:pt idx="44">
                  <c:v>5.1688557421874997</c:v>
                </c:pt>
                <c:pt idx="45">
                  <c:v>5.6495870921874989</c:v>
                </c:pt>
                <c:pt idx="46">
                  <c:v>6.1209656921875002</c:v>
                </c:pt>
                <c:pt idx="47">
                  <c:v>10.262827020833333</c:v>
                </c:pt>
                <c:pt idx="48">
                  <c:v>18.109374062499992</c:v>
                </c:pt>
                <c:pt idx="49">
                  <c:v>7.033749062500001</c:v>
                </c:pt>
                <c:pt idx="50">
                  <c:v>7.3368520000000013</c:v>
                </c:pt>
                <c:pt idx="51">
                  <c:v>18.407811213968756</c:v>
                </c:pt>
                <c:pt idx="52">
                  <c:v>22.134449171875005</c:v>
                </c:pt>
                <c:pt idx="53">
                  <c:v>4.5182051927083338</c:v>
                </c:pt>
                <c:pt idx="54">
                  <c:v>2.3257236927083342</c:v>
                </c:pt>
                <c:pt idx="55">
                  <c:v>5.4615351927083342</c:v>
                </c:pt>
                <c:pt idx="56">
                  <c:v>12.065808250000003</c:v>
                </c:pt>
                <c:pt idx="57">
                  <c:v>14.593512</c:v>
                </c:pt>
                <c:pt idx="58">
                  <c:v>11.839552250000001</c:v>
                </c:pt>
                <c:pt idx="59">
                  <c:v>9.5345692500000006</c:v>
                </c:pt>
                <c:pt idx="60">
                  <c:v>8.2509150000000009</c:v>
                </c:pt>
                <c:pt idx="61">
                  <c:v>7.3081593740544299</c:v>
                </c:pt>
                <c:pt idx="62">
                  <c:v>14.667140666666672</c:v>
                </c:pt>
                <c:pt idx="63" formatCode="0.00">
                  <c:v>50.84671725208333</c:v>
                </c:pt>
                <c:pt idx="64" formatCode="0.00">
                  <c:v>11.005291052083335</c:v>
                </c:pt>
                <c:pt idx="65" formatCode="0.00">
                  <c:v>11.795969852083335</c:v>
                </c:pt>
                <c:pt idx="66" formatCode="0.00">
                  <c:v>9.7350802020833349</c:v>
                </c:pt>
                <c:pt idx="67" formatCode="0.00">
                  <c:v>10.560999999999998</c:v>
                </c:pt>
                <c:pt idx="68" formatCode="0.00">
                  <c:v>8.7262500000000021</c:v>
                </c:pt>
                <c:pt idx="69" formatCode="0.00">
                  <c:v>6.5525373958333359</c:v>
                </c:pt>
                <c:pt idx="70" formatCode="0.00">
                  <c:v>5.3025393750000012</c:v>
                </c:pt>
                <c:pt idx="71" formatCode="0.00">
                  <c:v>3.6360493750000002</c:v>
                </c:pt>
                <c:pt idx="72" formatCode="0.00">
                  <c:v>3.0822233750000008</c:v>
                </c:pt>
                <c:pt idx="73" formatCode="0.00">
                  <c:v>6.4126973750000005</c:v>
                </c:pt>
              </c:numCache>
            </c:numRef>
          </c:yVal>
        </c:ser>
        <c:axId val="75390976"/>
        <c:axId val="75392512"/>
      </c:scatterChart>
      <c:valAx>
        <c:axId val="75390976"/>
        <c:scaling>
          <c:orientation val="minMax"/>
        </c:scaling>
        <c:axPos val="b"/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392512"/>
        <c:crosses val="autoZero"/>
        <c:crossBetween val="midCat"/>
      </c:valAx>
      <c:valAx>
        <c:axId val="75392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39097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Sheet1!$K$5</c:f>
              <c:strCache>
                <c:ptCount val="1"/>
                <c:pt idx="0">
                  <c:v>D.O. mg/L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Sheet1!$D$6:$D$79</c:f>
              <c:numCache>
                <c:formatCode>m/d/yy;@</c:formatCode>
                <c:ptCount val="74"/>
                <c:pt idx="0">
                  <c:v>37448</c:v>
                </c:pt>
                <c:pt idx="1">
                  <c:v>37448</c:v>
                </c:pt>
                <c:pt idx="2">
                  <c:v>37462</c:v>
                </c:pt>
                <c:pt idx="3">
                  <c:v>37462</c:v>
                </c:pt>
                <c:pt idx="4">
                  <c:v>37481</c:v>
                </c:pt>
                <c:pt idx="5">
                  <c:v>37481</c:v>
                </c:pt>
                <c:pt idx="6">
                  <c:v>37525</c:v>
                </c:pt>
                <c:pt idx="7">
                  <c:v>37525</c:v>
                </c:pt>
                <c:pt idx="8">
                  <c:v>37525</c:v>
                </c:pt>
                <c:pt idx="9">
                  <c:v>37790</c:v>
                </c:pt>
                <c:pt idx="10">
                  <c:v>37790</c:v>
                </c:pt>
                <c:pt idx="11">
                  <c:v>37805</c:v>
                </c:pt>
                <c:pt idx="12">
                  <c:v>37805</c:v>
                </c:pt>
                <c:pt idx="13">
                  <c:v>37819</c:v>
                </c:pt>
                <c:pt idx="14">
                  <c:v>37819</c:v>
                </c:pt>
                <c:pt idx="15">
                  <c:v>37838</c:v>
                </c:pt>
                <c:pt idx="16">
                  <c:v>37838</c:v>
                </c:pt>
                <c:pt idx="17">
                  <c:v>37852</c:v>
                </c:pt>
                <c:pt idx="18">
                  <c:v>37852</c:v>
                </c:pt>
                <c:pt idx="19">
                  <c:v>37867</c:v>
                </c:pt>
                <c:pt idx="20">
                  <c:v>37867</c:v>
                </c:pt>
                <c:pt idx="21">
                  <c:v>38161</c:v>
                </c:pt>
                <c:pt idx="22">
                  <c:v>38161</c:v>
                </c:pt>
                <c:pt idx="23">
                  <c:v>38175</c:v>
                </c:pt>
                <c:pt idx="24">
                  <c:v>38175</c:v>
                </c:pt>
                <c:pt idx="25">
                  <c:v>38190</c:v>
                </c:pt>
                <c:pt idx="26">
                  <c:v>38190</c:v>
                </c:pt>
                <c:pt idx="27">
                  <c:v>38218</c:v>
                </c:pt>
                <c:pt idx="28">
                  <c:v>38237</c:v>
                </c:pt>
                <c:pt idx="29">
                  <c:v>38517</c:v>
                </c:pt>
                <c:pt idx="30">
                  <c:v>38546</c:v>
                </c:pt>
                <c:pt idx="31">
                  <c:v>38559</c:v>
                </c:pt>
                <c:pt idx="32">
                  <c:v>38574</c:v>
                </c:pt>
                <c:pt idx="33">
                  <c:v>38588</c:v>
                </c:pt>
                <c:pt idx="34">
                  <c:v>38603</c:v>
                </c:pt>
                <c:pt idx="35">
                  <c:v>38888</c:v>
                </c:pt>
                <c:pt idx="36">
                  <c:v>38903</c:v>
                </c:pt>
                <c:pt idx="37">
                  <c:v>38917</c:v>
                </c:pt>
                <c:pt idx="38">
                  <c:v>38931</c:v>
                </c:pt>
                <c:pt idx="39">
                  <c:v>38945</c:v>
                </c:pt>
                <c:pt idx="40">
                  <c:v>38973</c:v>
                </c:pt>
                <c:pt idx="41">
                  <c:v>39254</c:v>
                </c:pt>
                <c:pt idx="42">
                  <c:v>39268</c:v>
                </c:pt>
                <c:pt idx="43">
                  <c:v>39282</c:v>
                </c:pt>
                <c:pt idx="44">
                  <c:v>39301</c:v>
                </c:pt>
                <c:pt idx="45">
                  <c:v>39315</c:v>
                </c:pt>
                <c:pt idx="46">
                  <c:v>39343</c:v>
                </c:pt>
                <c:pt idx="47">
                  <c:v>39638</c:v>
                </c:pt>
                <c:pt idx="48">
                  <c:v>39653</c:v>
                </c:pt>
                <c:pt idx="49">
                  <c:v>39667</c:v>
                </c:pt>
                <c:pt idx="50">
                  <c:v>39686</c:v>
                </c:pt>
                <c:pt idx="51">
                  <c:v>39700</c:v>
                </c:pt>
                <c:pt idx="52">
                  <c:v>40008</c:v>
                </c:pt>
                <c:pt idx="53">
                  <c:v>40022</c:v>
                </c:pt>
                <c:pt idx="54">
                  <c:v>40037</c:v>
                </c:pt>
                <c:pt idx="55">
                  <c:v>40051</c:v>
                </c:pt>
                <c:pt idx="56">
                  <c:v>40360</c:v>
                </c:pt>
                <c:pt idx="57">
                  <c:v>40374</c:v>
                </c:pt>
                <c:pt idx="58">
                  <c:v>40393</c:v>
                </c:pt>
                <c:pt idx="59">
                  <c:v>40407</c:v>
                </c:pt>
                <c:pt idx="60">
                  <c:v>40731</c:v>
                </c:pt>
                <c:pt idx="61">
                  <c:v>40759</c:v>
                </c:pt>
                <c:pt idx="62">
                  <c:v>40773</c:v>
                </c:pt>
                <c:pt idx="63">
                  <c:v>41101</c:v>
                </c:pt>
                <c:pt idx="64">
                  <c:v>41115</c:v>
                </c:pt>
                <c:pt idx="65">
                  <c:v>41129</c:v>
                </c:pt>
                <c:pt idx="66">
                  <c:v>41143</c:v>
                </c:pt>
                <c:pt idx="67">
                  <c:v>41466</c:v>
                </c:pt>
                <c:pt idx="68">
                  <c:v>41480</c:v>
                </c:pt>
                <c:pt idx="69">
                  <c:v>41499</c:v>
                </c:pt>
                <c:pt idx="70">
                  <c:v>41836</c:v>
                </c:pt>
                <c:pt idx="71">
                  <c:v>41851</c:v>
                </c:pt>
                <c:pt idx="72">
                  <c:v>41865</c:v>
                </c:pt>
                <c:pt idx="73">
                  <c:v>41879</c:v>
                </c:pt>
              </c:numCache>
            </c:numRef>
          </c:xVal>
          <c:yVal>
            <c:numRef>
              <c:f>Sheet1!$K$6:$K$79</c:f>
              <c:numCache>
                <c:formatCode>0.00</c:formatCode>
                <c:ptCount val="74"/>
                <c:pt idx="0">
                  <c:v>4.54</c:v>
                </c:pt>
                <c:pt idx="1">
                  <c:v>5</c:v>
                </c:pt>
                <c:pt idx="2">
                  <c:v>3.2</c:v>
                </c:pt>
                <c:pt idx="3">
                  <c:v>3.16</c:v>
                </c:pt>
                <c:pt idx="4">
                  <c:v>4.3499999999999996</c:v>
                </c:pt>
                <c:pt idx="5">
                  <c:v>3.91</c:v>
                </c:pt>
                <c:pt idx="6">
                  <c:v>5.09</c:v>
                </c:pt>
                <c:pt idx="7">
                  <c:v>5.28</c:v>
                </c:pt>
                <c:pt idx="9">
                  <c:v>5.7</c:v>
                </c:pt>
                <c:pt idx="10">
                  <c:v>5.64</c:v>
                </c:pt>
                <c:pt idx="11">
                  <c:v>6.32</c:v>
                </c:pt>
                <c:pt idx="12">
                  <c:v>6.3</c:v>
                </c:pt>
                <c:pt idx="13">
                  <c:v>4.2699999999999996</c:v>
                </c:pt>
                <c:pt idx="14">
                  <c:v>4.34</c:v>
                </c:pt>
                <c:pt idx="15">
                  <c:v>3.88</c:v>
                </c:pt>
                <c:pt idx="16">
                  <c:v>3.94</c:v>
                </c:pt>
                <c:pt idx="17">
                  <c:v>5.19</c:v>
                </c:pt>
                <c:pt idx="18">
                  <c:v>5.33</c:v>
                </c:pt>
                <c:pt idx="19">
                  <c:v>4.7</c:v>
                </c:pt>
                <c:pt idx="20">
                  <c:v>5.16</c:v>
                </c:pt>
                <c:pt idx="21">
                  <c:v>4.58</c:v>
                </c:pt>
                <c:pt idx="22">
                  <c:v>4.63</c:v>
                </c:pt>
                <c:pt idx="23">
                  <c:v>4.28</c:v>
                </c:pt>
                <c:pt idx="24">
                  <c:v>4.3600000000000003</c:v>
                </c:pt>
                <c:pt idx="25">
                  <c:v>5.09</c:v>
                </c:pt>
                <c:pt idx="26">
                  <c:v>5.0999999999999996</c:v>
                </c:pt>
                <c:pt idx="27">
                  <c:v>4.6900000000000004</c:v>
                </c:pt>
                <c:pt idx="28">
                  <c:v>6.14</c:v>
                </c:pt>
                <c:pt idx="29">
                  <c:v>3.87</c:v>
                </c:pt>
                <c:pt idx="30">
                  <c:v>5.12</c:v>
                </c:pt>
                <c:pt idx="31">
                  <c:v>3.46</c:v>
                </c:pt>
                <c:pt idx="32">
                  <c:v>2.41</c:v>
                </c:pt>
                <c:pt idx="33">
                  <c:v>4.67</c:v>
                </c:pt>
                <c:pt idx="34">
                  <c:v>4.3</c:v>
                </c:pt>
                <c:pt idx="35">
                  <c:v>5.74</c:v>
                </c:pt>
                <c:pt idx="36">
                  <c:v>4.875</c:v>
                </c:pt>
                <c:pt idx="37" formatCode="0.0">
                  <c:v>4.62</c:v>
                </c:pt>
                <c:pt idx="38">
                  <c:v>5.04</c:v>
                </c:pt>
                <c:pt idx="39">
                  <c:v>4.1749999999999998</c:v>
                </c:pt>
                <c:pt idx="40">
                  <c:v>6.94</c:v>
                </c:pt>
                <c:pt idx="41">
                  <c:v>4.8449999999999998</c:v>
                </c:pt>
                <c:pt idx="44">
                  <c:v>4.55</c:v>
                </c:pt>
                <c:pt idx="45">
                  <c:v>5.54</c:v>
                </c:pt>
                <c:pt idx="46">
                  <c:v>7.8249999999999993</c:v>
                </c:pt>
                <c:pt idx="47">
                  <c:v>0</c:v>
                </c:pt>
                <c:pt idx="48">
                  <c:v>4.8804999999999996</c:v>
                </c:pt>
                <c:pt idx="49">
                  <c:v>0</c:v>
                </c:pt>
                <c:pt idx="50">
                  <c:v>0</c:v>
                </c:pt>
                <c:pt idx="51">
                  <c:v>5.67</c:v>
                </c:pt>
                <c:pt idx="52" formatCode="General">
                  <c:v>6.13</c:v>
                </c:pt>
                <c:pt idx="53" formatCode="General">
                  <c:v>4.41</c:v>
                </c:pt>
                <c:pt idx="54" formatCode="General">
                  <c:v>4.7</c:v>
                </c:pt>
                <c:pt idx="55" formatCode="General">
                  <c:v>5.0599999999999996</c:v>
                </c:pt>
                <c:pt idx="56">
                  <c:v>4.3059037187608604</c:v>
                </c:pt>
                <c:pt idx="57">
                  <c:v>2.9305463197932382</c:v>
                </c:pt>
                <c:pt idx="58">
                  <c:v>5.2113357381829166</c:v>
                </c:pt>
                <c:pt idx="59">
                  <c:v>4.4270881444041255</c:v>
                </c:pt>
                <c:pt idx="60">
                  <c:v>3.5676218475140709</c:v>
                </c:pt>
                <c:pt idx="61">
                  <c:v>3.6773585368406736</c:v>
                </c:pt>
                <c:pt idx="62">
                  <c:v>0</c:v>
                </c:pt>
                <c:pt idx="63">
                  <c:v>5.0764206643067187</c:v>
                </c:pt>
                <c:pt idx="64">
                  <c:v>3.5957912572515025</c:v>
                </c:pt>
                <c:pt idx="65">
                  <c:v>4.5441070526626417</c:v>
                </c:pt>
                <c:pt idx="66">
                  <c:v>4.2010464913613248</c:v>
                </c:pt>
                <c:pt idx="67" formatCode="General">
                  <c:v>5.0999999999999996</c:v>
                </c:pt>
                <c:pt idx="68" formatCode="General">
                  <c:v>4.5</c:v>
                </c:pt>
                <c:pt idx="69" formatCode="General">
                  <c:v>5</c:v>
                </c:pt>
                <c:pt idx="70">
                  <c:v>4.9000000000000004</c:v>
                </c:pt>
                <c:pt idx="71">
                  <c:v>4.5999999999999996</c:v>
                </c:pt>
                <c:pt idx="72">
                  <c:v>5.2</c:v>
                </c:pt>
                <c:pt idx="73">
                  <c:v>5.2</c:v>
                </c:pt>
              </c:numCache>
            </c:numRef>
          </c:yVal>
        </c:ser>
        <c:axId val="75422720"/>
        <c:axId val="78406400"/>
      </c:scatterChart>
      <c:valAx>
        <c:axId val="75422720"/>
        <c:scaling>
          <c:orientation val="minMax"/>
        </c:scaling>
        <c:axPos val="b"/>
        <c:numFmt formatCode="m/d/yy;@" sourceLinked="1"/>
        <c:tickLblPos val="nextTo"/>
        <c:crossAx val="78406400"/>
        <c:crosses val="autoZero"/>
        <c:crossBetween val="midCat"/>
      </c:valAx>
      <c:valAx>
        <c:axId val="78406400"/>
        <c:scaling>
          <c:orientation val="minMax"/>
        </c:scaling>
        <c:axPos val="l"/>
        <c:majorGridlines/>
        <c:numFmt formatCode="0.00" sourceLinked="1"/>
        <c:tickLblPos val="nextTo"/>
        <c:crossAx val="75422720"/>
        <c:crosses val="autoZero"/>
        <c:crossBetween val="midCat"/>
      </c:valAx>
    </c:plotArea>
    <c:legend>
      <c:legendPos val="r"/>
      <c:layout/>
    </c:legend>
    <c:plotVisOnly val="1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8"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8"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0.08494</cdr:x>
      <cdr:y>0.67915</cdr:y>
    </cdr:from>
    <cdr:to>
      <cdr:x>0.96819</cdr:x>
      <cdr:y>0.67915</cdr:y>
    </cdr:to>
    <cdr:sp macro="" textlink="">
      <cdr:nvSpPr>
        <cdr:cNvPr id="4403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28989" y="3965425"/>
          <a:ext cx="75800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F0000"/>
          </a:solidFill>
          <a:prstDash val="dash"/>
          <a:round/>
          <a:headEnd/>
          <a:tailEnd/>
        </a:ln>
      </cdr:spPr>
    </cdr:sp>
  </cdr:relSizeAnchor>
  <cdr:relSizeAnchor xmlns:cdr="http://schemas.openxmlformats.org/drawingml/2006/chartDrawing">
    <cdr:from>
      <cdr:x>0</cdr:x>
      <cdr:y>0</cdr:y>
    </cdr:from>
    <cdr:to>
      <cdr:x>0.08225</cdr:x>
      <cdr:y>0.08125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705872" cy="4744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0.13644</cdr:x>
      <cdr:y>0.21386</cdr:y>
    </cdr:from>
    <cdr:to>
      <cdr:x>0.38919</cdr:x>
      <cdr:y>0.32961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0954" y="1248709"/>
          <a:ext cx="2169107" cy="67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MEP Total Nitrogen Threshold of 0.5 mg/L for benthic organisms; TN above this threshold exceeds the level for healthy benthic organisms </a:t>
          </a:r>
        </a:p>
      </cdr:txBody>
    </cdr:sp>
  </cdr:relSizeAnchor>
  <cdr:relSizeAnchor xmlns:cdr="http://schemas.openxmlformats.org/drawingml/2006/chartDrawing">
    <cdr:from>
      <cdr:x>0.31238</cdr:x>
      <cdr:y>0.31904</cdr:y>
    </cdr:from>
    <cdr:to>
      <cdr:x>0.37613</cdr:x>
      <cdr:y>0.67519</cdr:y>
    </cdr:to>
    <cdr:sp macro="" textlink="">
      <cdr:nvSpPr>
        <cdr:cNvPr id="4403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680863" y="1862816"/>
          <a:ext cx="547054" cy="207947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0.2495</cdr:x>
      <cdr:y>0.63175</cdr:y>
    </cdr:from>
    <cdr:to>
      <cdr:x>0.25725</cdr:x>
      <cdr:y>0.6645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1215" y="3688678"/>
          <a:ext cx="66511" cy="191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0.12</cdr:x>
      <cdr:y>0.48575</cdr:y>
    </cdr:from>
    <cdr:to>
      <cdr:x>0.34625</cdr:x>
      <cdr:y>0.6015</cdr:y>
    </cdr:to>
    <cdr:sp macro="" textlink="">
      <cdr:nvSpPr>
        <cdr:cNvPr id="4403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9843" y="2836209"/>
          <a:ext cx="1941683" cy="67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-26458" y="194028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0.37325</cdr:x>
      <cdr:y>0.036</cdr:y>
    </cdr:from>
    <cdr:to>
      <cdr:x>0.53725</cdr:x>
      <cdr:y>0.1025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03241" y="210198"/>
          <a:ext cx="1407452" cy="3882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Allen's Hulse Pont </a:t>
          </a:r>
        </a:p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Chlorophyll A</a:t>
          </a:r>
        </a:p>
      </cdr:txBody>
    </cdr:sp>
  </cdr:relSizeAnchor>
  <cdr:relSizeAnchor xmlns:cdr="http://schemas.openxmlformats.org/drawingml/2006/chartDrawing">
    <cdr:from>
      <cdr:x>0.0075</cdr:x>
      <cdr:y>0.33945</cdr:y>
    </cdr:from>
    <cdr:to>
      <cdr:x>0.04025</cdr:x>
      <cdr:y>0.4762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374" y="1982018"/>
          <a:ext cx="281061" cy="7984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Chl A - ug/L</a:t>
          </a:r>
        </a:p>
      </cdr:txBody>
    </cdr:sp>
  </cdr:relSizeAnchor>
  <cdr:relSizeAnchor xmlns:cdr="http://schemas.openxmlformats.org/drawingml/2006/chartDrawing">
    <cdr:from>
      <cdr:x>0.06493</cdr:x>
      <cdr:y>0.64355</cdr:y>
    </cdr:from>
    <cdr:to>
      <cdr:x>0.30443</cdr:x>
      <cdr:y>0.7398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205" y="3757553"/>
          <a:ext cx="2055395" cy="5619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Chl A is a measure of phytoplankton (algae); levels above 5 ug/L indicate negative impact</a:t>
          </a:r>
        </a:p>
      </cdr:txBody>
    </cdr:sp>
  </cdr:relSizeAnchor>
  <cdr:relSizeAnchor xmlns:cdr="http://schemas.openxmlformats.org/drawingml/2006/chartDrawing">
    <cdr:from>
      <cdr:x>0.05652</cdr:x>
      <cdr:y>0.85342</cdr:y>
    </cdr:from>
    <cdr:to>
      <cdr:x>0.96189</cdr:x>
      <cdr:y>0.85795</cdr:y>
    </cdr:to>
    <cdr:sp macro="" textlink="">
      <cdr:nvSpPr>
        <cdr:cNvPr id="8" name="Straight Connector 7"/>
        <cdr:cNvSpPr/>
      </cdr:nvSpPr>
      <cdr:spPr bwMode="auto">
        <a:xfrm xmlns:a="http://schemas.openxmlformats.org/drawingml/2006/main">
          <a:off x="485069" y="4982986"/>
          <a:ext cx="7769931" cy="26458"/>
        </a:xfrm>
        <a:prstGeom xmlns:a="http://schemas.openxmlformats.org/drawingml/2006/main" prst="line">
          <a:avLst/>
        </a:prstGeom>
        <a:ln xmlns:a="http://schemas.openxmlformats.org/drawingml/2006/main"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0.10845</cdr:x>
      <cdr:y>0.81942</cdr:y>
    </cdr:from>
    <cdr:to>
      <cdr:x>0.38536</cdr:x>
      <cdr:y>0.93454</cdr:y>
    </cdr:to>
    <cdr:sp macro="" textlink="">
      <cdr:nvSpPr>
        <cdr:cNvPr id="3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0288" y="5153269"/>
          <a:ext cx="2400821" cy="72401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Levels at 3 mg/L and below indicate not enough oxygen - plants/animals exist in extremely stressful conditions; result in die-off and relocation of some species</a:t>
          </a:r>
        </a:p>
      </cdr:txBody>
    </cdr:sp>
  </cdr:relSizeAnchor>
  <cdr:relSizeAnchor xmlns:cdr="http://schemas.openxmlformats.org/drawingml/2006/chartDrawing">
    <cdr:from>
      <cdr:x>0.67887</cdr:x>
      <cdr:y>0.57087</cdr:y>
    </cdr:from>
    <cdr:to>
      <cdr:x>0.96444</cdr:x>
      <cdr:y>0.65304</cdr:y>
    </cdr:to>
    <cdr:sp macro="" textlink="">
      <cdr:nvSpPr>
        <cdr:cNvPr id="4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5961" y="3590192"/>
          <a:ext cx="2475914" cy="51673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Aquatic organisms are under stress when DO is between 6 - 3 mg/L. The lower the concentration the greater the stress.</a:t>
          </a:r>
        </a:p>
      </cdr:txBody>
    </cdr:sp>
  </cdr:relSizeAnchor>
  <cdr:relSizeAnchor xmlns:cdr="http://schemas.openxmlformats.org/drawingml/2006/chartDrawing">
    <cdr:from>
      <cdr:x>0.57465</cdr:x>
      <cdr:y>0.32427</cdr:y>
    </cdr:from>
    <cdr:to>
      <cdr:x>0.75801</cdr:x>
      <cdr:y>0.36419</cdr:y>
    </cdr:to>
    <cdr:sp macro="" textlink="">
      <cdr:nvSpPr>
        <cdr:cNvPr id="5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2307" y="2039328"/>
          <a:ext cx="1589820" cy="2510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Class SA Waters Criteria</a:t>
          </a:r>
        </a:p>
      </cdr:txBody>
    </cdr:sp>
  </cdr:relSizeAnchor>
  <cdr:relSizeAnchor xmlns:cdr="http://schemas.openxmlformats.org/drawingml/2006/chartDrawing">
    <cdr:from>
      <cdr:x>0.04789</cdr:x>
      <cdr:y>0.37087</cdr:y>
    </cdr:from>
    <cdr:to>
      <cdr:x>0.86338</cdr:x>
      <cdr:y>0.37282</cdr:y>
    </cdr:to>
    <cdr:sp macro="" textlink="">
      <cdr:nvSpPr>
        <cdr:cNvPr id="7" name="Straight Connector 6"/>
        <cdr:cNvSpPr/>
      </cdr:nvSpPr>
      <cdr:spPr bwMode="auto">
        <a:xfrm xmlns:a="http://schemas.openxmlformats.org/drawingml/2006/main" flipV="1">
          <a:off x="415192" y="2332404"/>
          <a:ext cx="7070481" cy="1221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 b="1"/>
        </a:p>
      </cdr:txBody>
    </cdr:sp>
  </cdr:relSizeAnchor>
  <cdr:relSizeAnchor xmlns:cdr="http://schemas.openxmlformats.org/drawingml/2006/chartDrawing">
    <cdr:from>
      <cdr:x>0.0493</cdr:x>
      <cdr:y>0.66019</cdr:y>
    </cdr:from>
    <cdr:to>
      <cdr:x>0.86338</cdr:x>
      <cdr:y>0.66214</cdr:y>
    </cdr:to>
    <cdr:sp macro="" textlink="">
      <cdr:nvSpPr>
        <cdr:cNvPr id="9" name="Straight Connector 8"/>
        <cdr:cNvSpPr/>
      </cdr:nvSpPr>
      <cdr:spPr bwMode="auto">
        <a:xfrm xmlns:a="http://schemas.openxmlformats.org/drawingml/2006/main">
          <a:off x="427404" y="4151923"/>
          <a:ext cx="7058269" cy="12212"/>
        </a:xfrm>
        <a:prstGeom xmlns:a="http://schemas.openxmlformats.org/drawingml/2006/main" prst="line">
          <a:avLst/>
        </a:prstGeom>
        <a:ln xmlns:a="http://schemas.openxmlformats.org/drawingml/2006/main" w="12700"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 b="0"/>
        </a:p>
      </cdr:txBody>
    </cdr:sp>
  </cdr:relSizeAnchor>
  <cdr:relSizeAnchor xmlns:cdr="http://schemas.openxmlformats.org/drawingml/2006/chartDrawing">
    <cdr:from>
      <cdr:x>0.27746</cdr:x>
      <cdr:y>0.66408</cdr:y>
    </cdr:from>
    <cdr:to>
      <cdr:x>0.39577</cdr:x>
      <cdr:y>0.81748</cdr:y>
    </cdr:to>
    <cdr:sp macro="" textlink="">
      <cdr:nvSpPr>
        <cdr:cNvPr id="11" name="Straight Arrow Connector 10"/>
        <cdr:cNvSpPr/>
      </cdr:nvSpPr>
      <cdr:spPr bwMode="auto">
        <a:xfrm xmlns:a="http://schemas.openxmlformats.org/drawingml/2006/main" flipV="1">
          <a:off x="2405673" y="4176346"/>
          <a:ext cx="1025769" cy="964712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arrow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0.22254</cdr:x>
      <cdr:y>0.66408</cdr:y>
    </cdr:from>
    <cdr:to>
      <cdr:x>0.38169</cdr:x>
      <cdr:y>0.81359</cdr:y>
    </cdr:to>
    <cdr:sp macro="" textlink="">
      <cdr:nvSpPr>
        <cdr:cNvPr id="13" name="Straight Arrow Connector 12"/>
        <cdr:cNvSpPr/>
      </cdr:nvSpPr>
      <cdr:spPr bwMode="auto">
        <a:xfrm xmlns:a="http://schemas.openxmlformats.org/drawingml/2006/main" flipV="1">
          <a:off x="1929423" y="4176346"/>
          <a:ext cx="1379904" cy="940289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accent2">
              <a:shade val="95000"/>
              <a:satMod val="105000"/>
            </a:schemeClr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T83"/>
  <sheetViews>
    <sheetView tabSelected="1" topLeftCell="A57" zoomScaleNormal="100" workbookViewId="0">
      <selection activeCell="F82" sqref="F82"/>
    </sheetView>
  </sheetViews>
  <sheetFormatPr defaultRowHeight="12.75"/>
  <cols>
    <col min="3" max="3" width="19.5703125" customWidth="1"/>
    <col min="4" max="4" width="9.140625" style="89"/>
    <col min="9" max="9" width="12.5703125" customWidth="1"/>
    <col min="11" max="11" width="9.140625" style="33"/>
    <col min="12" max="12" width="9.140625" style="32"/>
    <col min="17" max="17" width="15" customWidth="1"/>
    <col min="29" max="29" width="14.140625" style="32" customWidth="1"/>
    <col min="35" max="35" width="10.85546875" customWidth="1"/>
    <col min="37" max="37" width="11" customWidth="1"/>
    <col min="42" max="42" width="16.7109375" bestFit="1" customWidth="1"/>
  </cols>
  <sheetData>
    <row r="2" spans="1:42" s="40" customFormat="1">
      <c r="D2" s="39"/>
      <c r="E2" s="39"/>
      <c r="F2" s="41" t="s">
        <v>0</v>
      </c>
      <c r="G2" s="15"/>
      <c r="H2" s="15"/>
      <c r="I2" s="14"/>
      <c r="J2" s="14"/>
      <c r="K2" s="15"/>
      <c r="L2" s="14"/>
      <c r="M2" s="14"/>
      <c r="O2" s="42"/>
      <c r="R2" s="14"/>
      <c r="S2" s="15"/>
      <c r="T2" s="15"/>
      <c r="U2" s="15"/>
      <c r="V2" s="15"/>
      <c r="W2" s="15"/>
      <c r="X2" s="15"/>
      <c r="Y2" s="15"/>
      <c r="Z2" s="15"/>
      <c r="AA2" s="15"/>
      <c r="AB2" s="15"/>
      <c r="AC2" s="14"/>
      <c r="AD2" s="15"/>
      <c r="AE2" s="15"/>
      <c r="AF2" s="15"/>
      <c r="AG2" s="15"/>
      <c r="AH2" s="15"/>
      <c r="AI2" s="17"/>
      <c r="AJ2" s="15"/>
      <c r="AK2" s="17"/>
      <c r="AL2" s="17"/>
      <c r="AM2" s="15"/>
    </row>
    <row r="3" spans="1:42" s="40" customFormat="1">
      <c r="D3" s="39"/>
      <c r="F3" s="15"/>
      <c r="G3" s="15"/>
      <c r="H3" s="15"/>
      <c r="I3" s="14"/>
      <c r="J3" s="14"/>
      <c r="K3" s="15"/>
      <c r="L3" s="14"/>
      <c r="M3" s="14"/>
      <c r="O3" s="42"/>
      <c r="R3" s="14"/>
      <c r="S3" s="15"/>
      <c r="T3" s="15"/>
      <c r="U3" s="15"/>
      <c r="V3" s="15"/>
      <c r="W3" s="15"/>
      <c r="X3" s="15"/>
      <c r="Y3" s="15"/>
      <c r="Z3" s="15"/>
      <c r="AA3" s="15"/>
      <c r="AB3" s="15"/>
      <c r="AC3" s="14"/>
      <c r="AD3" s="15"/>
      <c r="AE3" s="15"/>
      <c r="AF3" s="15"/>
      <c r="AG3" s="15"/>
      <c r="AH3" s="15"/>
      <c r="AI3" s="17"/>
      <c r="AJ3" s="15"/>
      <c r="AK3" s="17"/>
      <c r="AL3" s="17"/>
      <c r="AM3" s="15"/>
    </row>
    <row r="4" spans="1:42" s="40" customFormat="1">
      <c r="B4" s="7"/>
      <c r="C4" s="7"/>
      <c r="D4" s="8"/>
      <c r="E4" s="43"/>
      <c r="F4" s="9" t="s">
        <v>1</v>
      </c>
      <c r="G4" s="9" t="s">
        <v>2</v>
      </c>
      <c r="H4" s="9"/>
      <c r="I4" s="10" t="s">
        <v>3</v>
      </c>
      <c r="J4" s="10"/>
      <c r="K4" s="9"/>
      <c r="L4" s="10"/>
      <c r="M4" s="10"/>
      <c r="N4" s="10"/>
      <c r="O4" s="34"/>
      <c r="P4" s="7" t="s">
        <v>4</v>
      </c>
      <c r="Q4" s="7" t="s">
        <v>5</v>
      </c>
      <c r="R4" s="44" t="s">
        <v>6</v>
      </c>
      <c r="S4" s="45"/>
      <c r="T4" s="45"/>
      <c r="U4" s="45"/>
      <c r="V4" s="45"/>
      <c r="W4" s="45"/>
      <c r="X4" s="45"/>
      <c r="Y4" s="45"/>
      <c r="Z4" s="45"/>
      <c r="AA4" s="45" t="s">
        <v>7</v>
      </c>
      <c r="AB4" s="45" t="s">
        <v>8</v>
      </c>
      <c r="AC4" s="44"/>
      <c r="AD4" s="45"/>
      <c r="AE4" s="45"/>
      <c r="AF4" s="45"/>
      <c r="AG4" s="15"/>
      <c r="AH4" s="45"/>
      <c r="AI4" s="46"/>
      <c r="AJ4" s="15"/>
      <c r="AK4" s="17"/>
      <c r="AL4" s="17"/>
      <c r="AM4" s="15"/>
      <c r="AO4" s="45" t="s">
        <v>9</v>
      </c>
      <c r="AP4" s="45" t="s">
        <v>9</v>
      </c>
    </row>
    <row r="5" spans="1:42" s="40" customFormat="1" ht="15">
      <c r="A5" s="7" t="s">
        <v>10</v>
      </c>
      <c r="B5" s="7" t="s">
        <v>11</v>
      </c>
      <c r="C5" s="7" t="s">
        <v>12</v>
      </c>
      <c r="D5" s="8"/>
      <c r="E5" s="7" t="s">
        <v>13</v>
      </c>
      <c r="F5" s="9" t="s">
        <v>14</v>
      </c>
      <c r="G5" s="9" t="s">
        <v>15</v>
      </c>
      <c r="H5" s="9" t="s">
        <v>16</v>
      </c>
      <c r="I5" s="10" t="s">
        <v>14</v>
      </c>
      <c r="J5" s="10" t="s">
        <v>17</v>
      </c>
      <c r="K5" s="9" t="s">
        <v>18</v>
      </c>
      <c r="L5" s="10" t="s">
        <v>19</v>
      </c>
      <c r="M5" s="10" t="s">
        <v>80</v>
      </c>
      <c r="N5" s="7" t="s">
        <v>20</v>
      </c>
      <c r="O5" s="11" t="s">
        <v>21</v>
      </c>
      <c r="P5" s="12" t="s">
        <v>22</v>
      </c>
      <c r="Q5" s="12" t="s">
        <v>23</v>
      </c>
      <c r="R5" s="10" t="s">
        <v>24</v>
      </c>
      <c r="S5" s="9" t="s">
        <v>25</v>
      </c>
      <c r="T5" s="9" t="s">
        <v>26</v>
      </c>
      <c r="U5" s="9" t="s">
        <v>27</v>
      </c>
      <c r="V5" s="9" t="s">
        <v>28</v>
      </c>
      <c r="W5" s="9" t="s">
        <v>29</v>
      </c>
      <c r="X5" s="9" t="s">
        <v>30</v>
      </c>
      <c r="Y5" s="9" t="s">
        <v>16</v>
      </c>
      <c r="Z5" s="9" t="s">
        <v>31</v>
      </c>
      <c r="AA5" s="9" t="s">
        <v>32</v>
      </c>
      <c r="AB5" s="9" t="s">
        <v>32</v>
      </c>
      <c r="AC5" s="10" t="s">
        <v>79</v>
      </c>
      <c r="AD5" s="9" t="s">
        <v>16</v>
      </c>
      <c r="AE5" s="9" t="s">
        <v>33</v>
      </c>
      <c r="AF5" s="9" t="s">
        <v>34</v>
      </c>
      <c r="AG5" s="9" t="s">
        <v>35</v>
      </c>
      <c r="AH5" s="9" t="s">
        <v>36</v>
      </c>
      <c r="AI5" s="13" t="s">
        <v>37</v>
      </c>
      <c r="AJ5" s="9" t="s">
        <v>16</v>
      </c>
      <c r="AK5" s="13" t="s">
        <v>81</v>
      </c>
      <c r="AL5" s="13" t="s">
        <v>16</v>
      </c>
      <c r="AM5" s="9" t="s">
        <v>38</v>
      </c>
      <c r="AO5" s="45" t="s">
        <v>39</v>
      </c>
      <c r="AP5" s="45" t="s">
        <v>86</v>
      </c>
    </row>
    <row r="6" spans="1:42" s="40" customFormat="1">
      <c r="A6" s="40" t="s">
        <v>40</v>
      </c>
      <c r="B6" s="40" t="s">
        <v>41</v>
      </c>
      <c r="C6" s="47" t="s">
        <v>0</v>
      </c>
      <c r="D6" s="87">
        <v>37448</v>
      </c>
      <c r="E6" s="48">
        <v>0.36805555555555558</v>
      </c>
      <c r="F6" s="15">
        <v>1.3</v>
      </c>
      <c r="G6" s="15">
        <v>1.1000000000000001</v>
      </c>
      <c r="H6" s="15"/>
      <c r="I6" s="14">
        <v>0.5</v>
      </c>
      <c r="J6" s="14">
        <v>22.6</v>
      </c>
      <c r="K6" s="15">
        <v>4.54</v>
      </c>
      <c r="L6" s="14">
        <v>62.5</v>
      </c>
      <c r="M6" s="14"/>
      <c r="N6" s="40" t="s">
        <v>42</v>
      </c>
      <c r="O6" s="42">
        <v>1</v>
      </c>
      <c r="P6" s="40" t="s">
        <v>43</v>
      </c>
      <c r="Q6" s="40" t="s">
        <v>44</v>
      </c>
      <c r="R6" s="14">
        <v>31.6</v>
      </c>
      <c r="S6" s="15">
        <v>0.66115199999999996</v>
      </c>
      <c r="T6" s="15">
        <v>1.4970345</v>
      </c>
      <c r="U6" s="15">
        <f>T6*0.014</f>
        <v>2.0958483E-2</v>
      </c>
      <c r="V6" s="15">
        <v>0.14171351549775296</v>
      </c>
      <c r="W6" s="15">
        <f>V6*0.014</f>
        <v>1.9839892169685415E-3</v>
      </c>
      <c r="X6" s="15">
        <v>1.638748015497753</v>
      </c>
      <c r="Y6" s="15"/>
      <c r="Z6" s="15">
        <v>14.576940936371681</v>
      </c>
      <c r="AA6" s="15">
        <v>4.6269142857142853</v>
      </c>
      <c r="AB6" s="15">
        <v>1.220065714285713</v>
      </c>
      <c r="AC6" s="14">
        <v>5.85</v>
      </c>
      <c r="AD6" s="15"/>
      <c r="AE6" s="15">
        <v>0.79133403666752522</v>
      </c>
      <c r="AF6" s="15">
        <v>112.42621609837236</v>
      </c>
      <c r="AG6" s="15">
        <v>14.877650912778147</v>
      </c>
      <c r="AH6" s="15">
        <v>29.454591849149828</v>
      </c>
      <c r="AI6" s="17">
        <v>0.41236428588809759</v>
      </c>
      <c r="AJ6" s="15"/>
      <c r="AK6" s="16">
        <f>SUM(X6+Z6+AG6)*0.014</f>
        <v>0.43530675810506614</v>
      </c>
      <c r="AL6" s="17"/>
      <c r="AM6" s="15">
        <v>7.5534107148283836</v>
      </c>
      <c r="AO6" s="15">
        <f>X6+AH6</f>
        <v>31.093339864647582</v>
      </c>
      <c r="AP6" s="21">
        <f>AO6*0.014</f>
        <v>0.43530675810506614</v>
      </c>
    </row>
    <row r="7" spans="1:42" s="40" customFormat="1">
      <c r="A7" s="40" t="s">
        <v>40</v>
      </c>
      <c r="B7" s="40" t="s">
        <v>45</v>
      </c>
      <c r="C7" s="47" t="s">
        <v>0</v>
      </c>
      <c r="D7" s="87">
        <v>37448</v>
      </c>
      <c r="E7" s="48">
        <v>0.37152777777777773</v>
      </c>
      <c r="F7" s="15"/>
      <c r="G7" s="15"/>
      <c r="H7" s="15"/>
      <c r="I7" s="14">
        <v>1.5</v>
      </c>
      <c r="J7" s="14">
        <v>22.5</v>
      </c>
      <c r="K7" s="15">
        <v>5</v>
      </c>
      <c r="L7" s="14">
        <v>68.069999999999993</v>
      </c>
      <c r="M7" s="14"/>
      <c r="O7" s="42"/>
      <c r="R7" s="14"/>
      <c r="S7" s="15"/>
      <c r="T7" s="15"/>
      <c r="U7" s="15"/>
      <c r="V7" s="15"/>
      <c r="W7" s="15"/>
      <c r="X7" s="15"/>
      <c r="Y7" s="15"/>
      <c r="Z7" s="15"/>
      <c r="AA7" s="15"/>
      <c r="AB7" s="15"/>
      <c r="AC7" s="14"/>
      <c r="AD7" s="15"/>
      <c r="AE7" s="15"/>
      <c r="AF7" s="29"/>
      <c r="AG7" s="29"/>
      <c r="AH7" s="15"/>
      <c r="AI7" s="17"/>
      <c r="AJ7" s="15"/>
      <c r="AK7" s="16"/>
      <c r="AL7" s="17"/>
      <c r="AM7" s="15"/>
      <c r="AO7" s="15"/>
      <c r="AP7" s="21"/>
    </row>
    <row r="8" spans="1:42" s="40" customFormat="1">
      <c r="A8" s="40" t="s">
        <v>40</v>
      </c>
      <c r="B8" s="40" t="s">
        <v>41</v>
      </c>
      <c r="C8" s="47" t="s">
        <v>0</v>
      </c>
      <c r="D8" s="87">
        <v>37462</v>
      </c>
      <c r="E8" s="48">
        <v>0.3576388888888889</v>
      </c>
      <c r="F8" s="15">
        <v>2</v>
      </c>
      <c r="G8" s="15">
        <v>1.2</v>
      </c>
      <c r="H8" s="15"/>
      <c r="I8" s="14">
        <v>0.5</v>
      </c>
      <c r="J8" s="14">
        <v>21.8</v>
      </c>
      <c r="K8" s="15">
        <v>3.2</v>
      </c>
      <c r="L8" s="14">
        <v>46</v>
      </c>
      <c r="M8" s="14"/>
      <c r="N8" s="40" t="s">
        <v>46</v>
      </c>
      <c r="O8" s="42">
        <v>2</v>
      </c>
      <c r="P8" s="40" t="s">
        <v>47</v>
      </c>
      <c r="Q8" s="40" t="s">
        <v>48</v>
      </c>
      <c r="R8" s="14">
        <v>32</v>
      </c>
      <c r="S8" s="15">
        <v>1.1082379999999998</v>
      </c>
      <c r="T8" s="15">
        <v>2.4938079999999996</v>
      </c>
      <c r="U8" s="15">
        <f>T8*0.014</f>
        <v>3.4913311999999995E-2</v>
      </c>
      <c r="V8" s="15">
        <v>0.35871281807873079</v>
      </c>
      <c r="W8" s="15">
        <f>V8*0.014</f>
        <v>5.0219794531022313E-3</v>
      </c>
      <c r="X8" s="15">
        <v>2.8525208180787303</v>
      </c>
      <c r="Y8" s="15"/>
      <c r="Z8" s="15">
        <v>25.162318126924177</v>
      </c>
      <c r="AA8" s="15">
        <v>6.5133071428571432</v>
      </c>
      <c r="AB8" s="15">
        <v>1.2124278571428577</v>
      </c>
      <c r="AC8" s="14">
        <v>7.73</v>
      </c>
      <c r="AD8" s="15"/>
      <c r="AE8" s="15">
        <v>0.84306634163055583</v>
      </c>
      <c r="AF8" s="15">
        <v>63.428891967012952</v>
      </c>
      <c r="AG8" s="15">
        <v>10.225501098115686</v>
      </c>
      <c r="AH8" s="15">
        <v>35.387819225039863</v>
      </c>
      <c r="AI8" s="17">
        <v>0.49542946915055808</v>
      </c>
      <c r="AJ8" s="15"/>
      <c r="AK8" s="16">
        <f>SUM(X8+Z8+AG8)*0.014</f>
        <v>0.53536476060366034</v>
      </c>
      <c r="AL8" s="17"/>
      <c r="AM8" s="15">
        <v>6.2002956052762297</v>
      </c>
      <c r="AO8" s="15">
        <f>X8+AH8</f>
        <v>38.240340043118593</v>
      </c>
      <c r="AP8" s="21">
        <f>AO8*0.014</f>
        <v>0.53536476060366034</v>
      </c>
    </row>
    <row r="9" spans="1:42" s="40" customFormat="1">
      <c r="A9" s="40" t="s">
        <v>40</v>
      </c>
      <c r="B9" s="40" t="s">
        <v>45</v>
      </c>
      <c r="C9" s="47" t="s">
        <v>0</v>
      </c>
      <c r="D9" s="87">
        <v>37462</v>
      </c>
      <c r="E9" s="48">
        <v>0.3576388888888889</v>
      </c>
      <c r="F9" s="15"/>
      <c r="G9" s="15"/>
      <c r="H9" s="15"/>
      <c r="I9" s="14">
        <v>2</v>
      </c>
      <c r="J9" s="14">
        <v>22</v>
      </c>
      <c r="K9" s="15">
        <v>3.16</v>
      </c>
      <c r="L9" s="14">
        <v>43</v>
      </c>
      <c r="M9" s="14"/>
      <c r="O9" s="42"/>
      <c r="R9" s="14"/>
      <c r="S9" s="15"/>
      <c r="T9" s="15"/>
      <c r="U9" s="15"/>
      <c r="V9" s="15"/>
      <c r="W9" s="15"/>
      <c r="X9" s="15"/>
      <c r="Y9" s="15"/>
      <c r="Z9" s="15"/>
      <c r="AA9" s="15"/>
      <c r="AB9" s="15"/>
      <c r="AC9" s="14"/>
      <c r="AD9" s="15"/>
      <c r="AE9" s="15"/>
      <c r="AF9" s="29"/>
      <c r="AG9" s="29"/>
      <c r="AH9" s="15"/>
      <c r="AI9" s="17"/>
      <c r="AJ9" s="15"/>
      <c r="AK9" s="16"/>
      <c r="AL9" s="17"/>
      <c r="AM9" s="15"/>
      <c r="AO9" s="15"/>
      <c r="AP9" s="21"/>
    </row>
    <row r="10" spans="1:42" s="40" customFormat="1">
      <c r="A10" s="40" t="s">
        <v>40</v>
      </c>
      <c r="B10" s="40" t="s">
        <v>41</v>
      </c>
      <c r="C10" s="47" t="s">
        <v>0</v>
      </c>
      <c r="D10" s="87">
        <v>37481</v>
      </c>
      <c r="E10" s="48">
        <v>0.35416666666666669</v>
      </c>
      <c r="F10" s="15">
        <v>2.25</v>
      </c>
      <c r="G10" s="15">
        <v>1.375</v>
      </c>
      <c r="H10" s="15"/>
      <c r="I10" s="14">
        <v>0.5</v>
      </c>
      <c r="J10" s="14">
        <v>24.7</v>
      </c>
      <c r="K10" s="15">
        <v>4.3499999999999996</v>
      </c>
      <c r="L10" s="14">
        <v>63.4</v>
      </c>
      <c r="M10" s="14"/>
      <c r="N10" s="40" t="s">
        <v>49</v>
      </c>
      <c r="O10" s="42">
        <v>0</v>
      </c>
      <c r="P10" s="40" t="s">
        <v>50</v>
      </c>
      <c r="Q10" s="40" t="s">
        <v>51</v>
      </c>
      <c r="R10" s="14">
        <v>30.7</v>
      </c>
      <c r="S10" s="15">
        <v>0.68643199999999993</v>
      </c>
      <c r="T10" s="15">
        <v>2.5257149999999999</v>
      </c>
      <c r="U10" s="15">
        <f>T10*0.014</f>
        <v>3.5360009999999997E-2</v>
      </c>
      <c r="V10" s="15">
        <v>1.1375978553742092</v>
      </c>
      <c r="W10" s="15">
        <f>V10*0.014</f>
        <v>1.5926369975238931E-2</v>
      </c>
      <c r="X10" s="15">
        <v>3.6633128553742091</v>
      </c>
      <c r="Y10" s="15"/>
      <c r="Z10" s="15">
        <v>24.099075638422363</v>
      </c>
      <c r="AA10" s="15">
        <v>6.0569785714285711</v>
      </c>
      <c r="AB10" s="15">
        <v>1.8056064285714282</v>
      </c>
      <c r="AC10" s="14">
        <v>7.86</v>
      </c>
      <c r="AD10" s="15"/>
      <c r="AE10" s="15">
        <v>0.77035460620502949</v>
      </c>
      <c r="AF10" s="15">
        <v>113.72161126405199</v>
      </c>
      <c r="AG10" s="15">
        <v>16.476707248884235</v>
      </c>
      <c r="AH10" s="15">
        <v>40.575782887306602</v>
      </c>
      <c r="AI10" s="17">
        <v>0.56806096042229248</v>
      </c>
      <c r="AJ10" s="15"/>
      <c r="AK10" s="16">
        <f>SUM(X10+Z10+AG10)*0.014</f>
        <v>0.61934734039753125</v>
      </c>
      <c r="AL10" s="17"/>
      <c r="AM10" s="15">
        <v>6.89894129196938</v>
      </c>
      <c r="AO10" s="15">
        <f>X10+AH10</f>
        <v>44.23909574268081</v>
      </c>
      <c r="AP10" s="21">
        <f>AO10*0.014</f>
        <v>0.61934734039753137</v>
      </c>
    </row>
    <row r="11" spans="1:42" s="40" customFormat="1">
      <c r="A11" s="40" t="s">
        <v>40</v>
      </c>
      <c r="B11" s="40" t="s">
        <v>45</v>
      </c>
      <c r="C11" s="47" t="s">
        <v>0</v>
      </c>
      <c r="D11" s="87">
        <v>37481</v>
      </c>
      <c r="E11" s="48">
        <v>0.3576388888888889</v>
      </c>
      <c r="F11" s="15"/>
      <c r="G11" s="15"/>
      <c r="H11" s="15"/>
      <c r="I11" s="14">
        <v>2.25</v>
      </c>
      <c r="J11" s="14">
        <v>24.8</v>
      </c>
      <c r="K11" s="15">
        <v>3.91</v>
      </c>
      <c r="L11" s="14">
        <v>56.2</v>
      </c>
      <c r="M11" s="14"/>
      <c r="O11" s="42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4"/>
      <c r="AD11" s="15"/>
      <c r="AE11" s="15"/>
      <c r="AF11" s="29"/>
      <c r="AG11" s="29"/>
      <c r="AH11" s="15"/>
      <c r="AI11" s="17"/>
      <c r="AJ11" s="15"/>
      <c r="AK11" s="16"/>
      <c r="AL11" s="17"/>
      <c r="AM11" s="15"/>
      <c r="AO11" s="15"/>
      <c r="AP11" s="21"/>
    </row>
    <row r="12" spans="1:42" s="40" customFormat="1">
      <c r="A12" s="40" t="s">
        <v>40</v>
      </c>
      <c r="B12" s="40" t="s">
        <v>41</v>
      </c>
      <c r="C12" s="47" t="s">
        <v>0</v>
      </c>
      <c r="D12" s="87">
        <v>37525</v>
      </c>
      <c r="E12" s="48">
        <v>0.34722222222222227</v>
      </c>
      <c r="F12" s="15">
        <v>1.8</v>
      </c>
      <c r="G12" s="15">
        <v>1.8</v>
      </c>
      <c r="H12" s="15"/>
      <c r="I12" s="14">
        <v>0.5</v>
      </c>
      <c r="J12" s="14">
        <v>19.899999999999999</v>
      </c>
      <c r="K12" s="15">
        <v>5.09</v>
      </c>
      <c r="L12" s="14">
        <v>68.3</v>
      </c>
      <c r="M12" s="14"/>
      <c r="N12" s="40" t="s">
        <v>49</v>
      </c>
      <c r="O12" s="42"/>
      <c r="R12" s="14">
        <v>27.7</v>
      </c>
      <c r="S12" s="15">
        <v>0.99912000000000001</v>
      </c>
      <c r="T12" s="15">
        <v>10.783749</v>
      </c>
      <c r="U12" s="15">
        <f>T12*0.014</f>
        <v>0.15097248600000002</v>
      </c>
      <c r="V12" s="15">
        <v>2.3102022650646634</v>
      </c>
      <c r="W12" s="15">
        <f>V12*0.014</f>
        <v>3.2342831710905288E-2</v>
      </c>
      <c r="X12" s="15">
        <v>13.093951265064664</v>
      </c>
      <c r="Y12" s="15"/>
      <c r="Z12" s="15">
        <v>15.407029257074008</v>
      </c>
      <c r="AA12" s="15">
        <v>3.3186428571428568</v>
      </c>
      <c r="AB12" s="15">
        <v>0.90965380952381014</v>
      </c>
      <c r="AC12" s="14">
        <v>4.2300000000000004</v>
      </c>
      <c r="AD12" s="15"/>
      <c r="AE12" s="15">
        <v>0.78486518774924885</v>
      </c>
      <c r="AF12" s="15">
        <v>45.766629669723955</v>
      </c>
      <c r="AG12" s="15">
        <v>5.2487060431101469</v>
      </c>
      <c r="AH12" s="15">
        <v>20.655735300184155</v>
      </c>
      <c r="AI12" s="17">
        <v>0.28918029420257818</v>
      </c>
      <c r="AJ12" s="15"/>
      <c r="AK12" s="16">
        <f>SUM(X12+Z12+AG12)*0.014</f>
        <v>0.47249561191348355</v>
      </c>
      <c r="AL12" s="17"/>
      <c r="AM12" s="15">
        <v>8.715785855395259</v>
      </c>
      <c r="AO12" s="15">
        <f>X12+AH12</f>
        <v>33.749686565248822</v>
      </c>
      <c r="AP12" s="21">
        <f>AO12*0.014</f>
        <v>0.47249561191348355</v>
      </c>
    </row>
    <row r="13" spans="1:42" s="40" customFormat="1">
      <c r="A13" s="40" t="s">
        <v>40</v>
      </c>
      <c r="B13" s="40" t="s">
        <v>45</v>
      </c>
      <c r="C13" s="47" t="s">
        <v>0</v>
      </c>
      <c r="D13" s="87">
        <v>37525</v>
      </c>
      <c r="E13" s="48">
        <v>0.34861111111111115</v>
      </c>
      <c r="F13" s="15"/>
      <c r="G13" s="15"/>
      <c r="H13" s="15">
        <f>SUM(G6:G13)/4</f>
        <v>1.3687499999999999</v>
      </c>
      <c r="I13" s="14">
        <v>1.5</v>
      </c>
      <c r="J13" s="14">
        <v>20.5</v>
      </c>
      <c r="K13" s="15">
        <v>5.28</v>
      </c>
      <c r="L13" s="14">
        <v>69.099999999999994</v>
      </c>
      <c r="M13" s="14">
        <f>SUM(K6:K13)/8</f>
        <v>4.3162500000000001</v>
      </c>
      <c r="O13" s="42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4"/>
      <c r="AD13" s="15"/>
      <c r="AE13" s="15"/>
      <c r="AF13" s="29"/>
      <c r="AG13" s="29"/>
      <c r="AH13" s="15"/>
      <c r="AI13" s="17"/>
      <c r="AJ13" s="15"/>
      <c r="AK13" s="16"/>
      <c r="AL13" s="17"/>
      <c r="AM13" s="15"/>
      <c r="AP13" s="21"/>
    </row>
    <row r="14" spans="1:42" s="40" customFormat="1">
      <c r="A14" s="40" t="s">
        <v>40</v>
      </c>
      <c r="B14" s="40" t="s">
        <v>52</v>
      </c>
      <c r="C14" s="47" t="s">
        <v>0</v>
      </c>
      <c r="D14" s="87">
        <v>37525</v>
      </c>
      <c r="E14" s="49"/>
      <c r="F14" s="15"/>
      <c r="G14" s="15">
        <f>SUM(G6:G13)/4</f>
        <v>1.3687499999999999</v>
      </c>
      <c r="H14" s="15"/>
      <c r="I14" s="14"/>
      <c r="J14" s="14"/>
      <c r="K14" s="15"/>
      <c r="L14" s="14">
        <f>SUM(L6:L13)/8</f>
        <v>59.571249999999992</v>
      </c>
      <c r="M14" s="14"/>
      <c r="O14" s="42"/>
      <c r="R14" s="14"/>
      <c r="S14" s="15"/>
      <c r="T14" s="15"/>
      <c r="U14" s="15"/>
      <c r="V14" s="15"/>
      <c r="W14" s="15"/>
      <c r="X14" s="15">
        <f>SUM(X6:X13)/8</f>
        <v>2.6560666192519196</v>
      </c>
      <c r="Y14" s="15">
        <f>SUM(X6:X14)/5</f>
        <v>4.7809199146534551</v>
      </c>
      <c r="Z14" s="15"/>
      <c r="AA14" s="15">
        <f>SUM(AA6:AA13)/8</f>
        <v>2.5644803571428572</v>
      </c>
      <c r="AB14" s="15">
        <f>SUM(AB6:AB13)/8</f>
        <v>0.6434692261904762</v>
      </c>
      <c r="AC14" s="14">
        <v>3.21</v>
      </c>
      <c r="AD14" s="15">
        <f>SUM(AC6:AC14)/5</f>
        <v>5.7760000000000007</v>
      </c>
      <c r="AE14" s="15">
        <v>0.66267587304989484</v>
      </c>
      <c r="AF14" s="15"/>
      <c r="AG14" s="15"/>
      <c r="AH14" s="15"/>
      <c r="AI14" s="17">
        <f>SUM(AI6:AI13)/8</f>
        <v>0.22062937620794082</v>
      </c>
      <c r="AJ14" s="15">
        <f>SUM(AI6:AI14)/5</f>
        <v>0.39713287717429346</v>
      </c>
      <c r="AK14" s="16">
        <f>SUM(X14+Z14+AG14)*0.014</f>
        <v>3.7184932669526875E-2</v>
      </c>
      <c r="AL14" s="17">
        <f>SUM(AK6:AK14)/5</f>
        <v>0.41993988073785371</v>
      </c>
      <c r="AM14" s="15">
        <v>6.4387747371245698</v>
      </c>
      <c r="AO14" s="15">
        <f>X14+AH14</f>
        <v>2.6560666192519196</v>
      </c>
      <c r="AP14" s="21">
        <f>AO14*0.014</f>
        <v>3.7184932669526875E-2</v>
      </c>
    </row>
    <row r="15" spans="1:42" s="40" customFormat="1">
      <c r="A15" s="40" t="s">
        <v>40</v>
      </c>
      <c r="B15" s="40" t="s">
        <v>41</v>
      </c>
      <c r="C15" s="47" t="s">
        <v>0</v>
      </c>
      <c r="D15" s="39">
        <v>37790</v>
      </c>
      <c r="E15" s="49">
        <v>0.34027777777777773</v>
      </c>
      <c r="F15" s="15">
        <v>2.2000000000000002</v>
      </c>
      <c r="G15" s="15">
        <v>2.0499999999999998</v>
      </c>
      <c r="H15" s="15"/>
      <c r="I15" s="14">
        <v>0.5</v>
      </c>
      <c r="J15" s="14">
        <v>18.5</v>
      </c>
      <c r="K15" s="15">
        <v>5.7</v>
      </c>
      <c r="L15" s="14">
        <v>70</v>
      </c>
      <c r="M15" s="14"/>
      <c r="N15" s="40" t="s">
        <v>49</v>
      </c>
      <c r="O15" s="42" t="s">
        <v>53</v>
      </c>
      <c r="P15" s="40" t="s">
        <v>50</v>
      </c>
      <c r="R15" s="14">
        <v>30</v>
      </c>
      <c r="S15" s="15">
        <v>0.6</v>
      </c>
      <c r="T15" s="15">
        <v>4.9000000000000004</v>
      </c>
      <c r="U15" s="15">
        <f t="shared" ref="U15:U25" si="0">T15*0.014</f>
        <v>6.8600000000000008E-2</v>
      </c>
      <c r="V15" s="15">
        <v>1.2</v>
      </c>
      <c r="W15" s="15">
        <f t="shared" ref="W15:W25" si="1">V15*0.014</f>
        <v>1.6799999999999999E-2</v>
      </c>
      <c r="X15" s="15">
        <v>6.1</v>
      </c>
      <c r="Y15" s="15"/>
      <c r="Z15" s="15">
        <v>14.9</v>
      </c>
      <c r="AA15" s="15">
        <v>2.63</v>
      </c>
      <c r="AB15" s="15">
        <v>1.34</v>
      </c>
      <c r="AC15" s="14">
        <f t="shared" ref="AC15:AC23" si="2">AA15+AB15</f>
        <v>3.9699999999999998</v>
      </c>
      <c r="AD15" s="15"/>
      <c r="AE15" s="15"/>
      <c r="AF15" s="15">
        <v>63.6</v>
      </c>
      <c r="AG15" s="15">
        <v>9.91</v>
      </c>
      <c r="AH15" s="15">
        <v>21</v>
      </c>
      <c r="AI15" s="17">
        <v>0.3</v>
      </c>
      <c r="AJ15" s="15"/>
      <c r="AK15" s="16">
        <f>SUM(X15+Z15+AG15)*0.014</f>
        <v>0.43274000000000001</v>
      </c>
      <c r="AL15" s="17"/>
      <c r="AM15" s="15"/>
      <c r="AO15" s="15">
        <f>X15+AH15</f>
        <v>27.1</v>
      </c>
      <c r="AP15" s="21">
        <f>AO15*0.014</f>
        <v>0.37940000000000002</v>
      </c>
    </row>
    <row r="16" spans="1:42" s="40" customFormat="1">
      <c r="A16" s="40" t="s">
        <v>40</v>
      </c>
      <c r="B16" s="40" t="s">
        <v>45</v>
      </c>
      <c r="C16" s="47" t="s">
        <v>0</v>
      </c>
      <c r="D16" s="39">
        <v>37790</v>
      </c>
      <c r="E16" s="49"/>
      <c r="F16" s="15"/>
      <c r="G16" s="15"/>
      <c r="H16" s="15"/>
      <c r="I16" s="14">
        <v>1</v>
      </c>
      <c r="J16" s="14">
        <v>18.600000000000001</v>
      </c>
      <c r="K16" s="15">
        <v>5.64</v>
      </c>
      <c r="L16" s="14">
        <v>72.599999999999994</v>
      </c>
      <c r="M16" s="14"/>
      <c r="O16" s="42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4"/>
      <c r="AD16" s="15"/>
      <c r="AE16" s="15">
        <v>1</v>
      </c>
      <c r="AF16" s="15"/>
      <c r="AG16" s="15"/>
      <c r="AH16" s="15"/>
      <c r="AI16" s="17"/>
      <c r="AJ16" s="15"/>
      <c r="AK16" s="16"/>
      <c r="AL16" s="17"/>
      <c r="AM16" s="15">
        <v>5.3444498019474311</v>
      </c>
      <c r="AO16" s="15"/>
      <c r="AP16" s="21"/>
    </row>
    <row r="17" spans="1:42" s="40" customFormat="1">
      <c r="A17" s="40" t="s">
        <v>40</v>
      </c>
      <c r="B17" s="40" t="s">
        <v>41</v>
      </c>
      <c r="C17" s="47" t="s">
        <v>0</v>
      </c>
      <c r="D17" s="39">
        <v>37805</v>
      </c>
      <c r="E17" s="49">
        <v>0.33333333333333331</v>
      </c>
      <c r="F17" s="15">
        <v>1.8</v>
      </c>
      <c r="G17" s="15">
        <v>1.4</v>
      </c>
      <c r="H17" s="15"/>
      <c r="I17" s="14">
        <v>0.5</v>
      </c>
      <c r="J17" s="14">
        <v>22.9</v>
      </c>
      <c r="K17" s="15">
        <v>6.32</v>
      </c>
      <c r="L17" s="14">
        <v>88.3</v>
      </c>
      <c r="M17" s="14"/>
      <c r="N17" s="40" t="s">
        <v>42</v>
      </c>
      <c r="O17" s="42" t="s">
        <v>54</v>
      </c>
      <c r="P17" s="40" t="s">
        <v>50</v>
      </c>
      <c r="R17" s="14">
        <v>30</v>
      </c>
      <c r="S17" s="15">
        <v>0.2</v>
      </c>
      <c r="T17" s="15">
        <v>0.2</v>
      </c>
      <c r="U17" s="15">
        <f t="shared" si="0"/>
        <v>2.8000000000000004E-3</v>
      </c>
      <c r="V17" s="15">
        <v>0.2</v>
      </c>
      <c r="W17" s="15">
        <f t="shared" si="1"/>
        <v>2.8000000000000004E-3</v>
      </c>
      <c r="X17" s="15">
        <v>0.4</v>
      </c>
      <c r="Y17" s="15"/>
      <c r="Z17" s="15">
        <v>15.6</v>
      </c>
      <c r="AA17" s="15">
        <v>10.54</v>
      </c>
      <c r="AB17" s="15">
        <v>0.05</v>
      </c>
      <c r="AC17" s="14">
        <f t="shared" si="2"/>
        <v>10.59</v>
      </c>
      <c r="AD17" s="15"/>
      <c r="AE17" s="15"/>
      <c r="AF17" s="15">
        <v>88.45</v>
      </c>
      <c r="AG17" s="15">
        <v>16.55</v>
      </c>
      <c r="AH17" s="15">
        <v>15.9</v>
      </c>
      <c r="AI17" s="17">
        <v>0.2</v>
      </c>
      <c r="AJ17" s="15"/>
      <c r="AK17" s="16">
        <f>SUM(X17+Z17+AG17)*0.014</f>
        <v>0.45569999999999999</v>
      </c>
      <c r="AL17" s="17"/>
      <c r="AM17" s="15"/>
      <c r="AO17" s="15">
        <f>X17+AH17</f>
        <v>16.3</v>
      </c>
      <c r="AP17" s="21">
        <f>AO17*0.014</f>
        <v>0.22820000000000001</v>
      </c>
    </row>
    <row r="18" spans="1:42" s="40" customFormat="1">
      <c r="A18" s="40" t="s">
        <v>40</v>
      </c>
      <c r="B18" s="40" t="s">
        <v>45</v>
      </c>
      <c r="C18" s="47" t="s">
        <v>0</v>
      </c>
      <c r="D18" s="39">
        <v>37805</v>
      </c>
      <c r="E18" s="49">
        <v>0.33402777777777781</v>
      </c>
      <c r="F18" s="15"/>
      <c r="G18" s="15"/>
      <c r="H18" s="15"/>
      <c r="I18" s="14">
        <v>0.9</v>
      </c>
      <c r="J18" s="14">
        <v>23</v>
      </c>
      <c r="K18" s="15">
        <v>6.3</v>
      </c>
      <c r="L18" s="14">
        <v>88</v>
      </c>
      <c r="M18" s="14"/>
      <c r="O18" s="42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4"/>
      <c r="AD18" s="15"/>
      <c r="AE18" s="15">
        <v>0.68947784969045423</v>
      </c>
      <c r="AF18" s="15"/>
      <c r="AG18" s="15"/>
      <c r="AH18" s="15"/>
      <c r="AI18" s="17"/>
      <c r="AJ18" s="15"/>
      <c r="AK18" s="16"/>
      <c r="AL18" s="17"/>
      <c r="AM18" s="15">
        <v>8.0882557754005635</v>
      </c>
      <c r="AP18" s="21"/>
    </row>
    <row r="19" spans="1:42" s="40" customFormat="1">
      <c r="A19" s="40" t="s">
        <v>40</v>
      </c>
      <c r="B19" s="40" t="s">
        <v>41</v>
      </c>
      <c r="C19" s="47" t="s">
        <v>0</v>
      </c>
      <c r="D19" s="39">
        <v>37819</v>
      </c>
      <c r="E19" s="49">
        <v>0.3263888888888889</v>
      </c>
      <c r="F19" s="15">
        <v>2</v>
      </c>
      <c r="G19" s="15">
        <v>1.4</v>
      </c>
      <c r="H19" s="15"/>
      <c r="I19" s="14">
        <v>0.5</v>
      </c>
      <c r="J19" s="14">
        <v>23</v>
      </c>
      <c r="K19" s="15">
        <v>4.2699999999999996</v>
      </c>
      <c r="L19" s="14">
        <v>59.5</v>
      </c>
      <c r="M19" s="14"/>
      <c r="N19" s="40" t="s">
        <v>49</v>
      </c>
      <c r="O19" s="42" t="s">
        <v>55</v>
      </c>
      <c r="P19" s="40" t="s">
        <v>43</v>
      </c>
      <c r="Q19" s="40" t="s">
        <v>42</v>
      </c>
      <c r="R19" s="14">
        <v>30</v>
      </c>
      <c r="S19" s="15">
        <v>0.8</v>
      </c>
      <c r="T19" s="15">
        <v>8.4</v>
      </c>
      <c r="U19" s="15">
        <f t="shared" si="0"/>
        <v>0.11760000000000001</v>
      </c>
      <c r="V19" s="15">
        <v>0.9</v>
      </c>
      <c r="W19" s="15">
        <f t="shared" si="1"/>
        <v>1.26E-2</v>
      </c>
      <c r="X19" s="15">
        <v>9.3000000000000007</v>
      </c>
      <c r="Y19" s="15"/>
      <c r="Z19" s="15">
        <v>21</v>
      </c>
      <c r="AA19" s="15">
        <v>4.17</v>
      </c>
      <c r="AB19" s="15">
        <v>1.88</v>
      </c>
      <c r="AC19" s="14">
        <f t="shared" si="2"/>
        <v>6.05</v>
      </c>
      <c r="AD19" s="15"/>
      <c r="AE19" s="15"/>
      <c r="AF19" s="15">
        <v>93.68</v>
      </c>
      <c r="AG19" s="15">
        <v>11.58</v>
      </c>
      <c r="AH19" s="15">
        <v>30.3</v>
      </c>
      <c r="AI19" s="17">
        <v>0.4</v>
      </c>
      <c r="AJ19" s="15"/>
      <c r="AK19" s="16">
        <f>SUM(X19+Z19+AG19)*0.014</f>
        <v>0.58632000000000006</v>
      </c>
      <c r="AL19" s="17"/>
      <c r="AM19" s="15"/>
      <c r="AO19" s="15">
        <f>X19+AH19</f>
        <v>39.6</v>
      </c>
      <c r="AP19" s="21">
        <f>AO19*0.014</f>
        <v>0.5544</v>
      </c>
    </row>
    <row r="20" spans="1:42" s="40" customFormat="1">
      <c r="A20" s="40" t="s">
        <v>40</v>
      </c>
      <c r="B20" s="40" t="s">
        <v>45</v>
      </c>
      <c r="C20" s="47" t="s">
        <v>0</v>
      </c>
      <c r="D20" s="39">
        <v>37819</v>
      </c>
      <c r="E20" s="49">
        <v>0.32777777777777778</v>
      </c>
      <c r="F20" s="15"/>
      <c r="G20" s="15"/>
      <c r="H20" s="15"/>
      <c r="I20" s="14">
        <v>1</v>
      </c>
      <c r="J20" s="14">
        <v>23</v>
      </c>
      <c r="K20" s="15">
        <v>4.34</v>
      </c>
      <c r="L20" s="14">
        <v>58.9</v>
      </c>
      <c r="M20" s="14"/>
      <c r="O20" s="42"/>
      <c r="R20" s="14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4"/>
      <c r="AD20" s="15"/>
      <c r="AE20" s="15">
        <v>0.49915718726423136</v>
      </c>
      <c r="AF20" s="15"/>
      <c r="AG20" s="15"/>
      <c r="AH20" s="15"/>
      <c r="AI20" s="17"/>
      <c r="AJ20" s="15"/>
      <c r="AK20" s="16"/>
      <c r="AL20" s="17"/>
      <c r="AM20" s="15">
        <v>6.8760029663066478</v>
      </c>
      <c r="AP20" s="21"/>
    </row>
    <row r="21" spans="1:42" s="40" customFormat="1">
      <c r="A21" s="40" t="s">
        <v>40</v>
      </c>
      <c r="B21" s="40" t="s">
        <v>41</v>
      </c>
      <c r="C21" s="47" t="s">
        <v>0</v>
      </c>
      <c r="D21" s="39">
        <v>37838</v>
      </c>
      <c r="E21" s="48">
        <v>0.35416666666666669</v>
      </c>
      <c r="F21" s="15">
        <v>2.2999999999999998</v>
      </c>
      <c r="G21" s="15">
        <v>1.05</v>
      </c>
      <c r="H21" s="15"/>
      <c r="I21" s="14">
        <v>0.5</v>
      </c>
      <c r="J21" s="14">
        <v>25</v>
      </c>
      <c r="K21" s="15">
        <v>3.88</v>
      </c>
      <c r="L21" s="14">
        <v>56.4</v>
      </c>
      <c r="M21" s="14"/>
      <c r="N21" s="40" t="s">
        <v>42</v>
      </c>
      <c r="O21" s="42" t="s">
        <v>56</v>
      </c>
      <c r="P21" s="40" t="s">
        <v>50</v>
      </c>
      <c r="Q21" s="40" t="s">
        <v>42</v>
      </c>
      <c r="R21" s="14">
        <v>30</v>
      </c>
      <c r="S21" s="15">
        <v>1.2</v>
      </c>
      <c r="T21" s="15">
        <v>8.9</v>
      </c>
      <c r="U21" s="15">
        <f t="shared" si="0"/>
        <v>0.1246</v>
      </c>
      <c r="V21" s="15">
        <v>0.8</v>
      </c>
      <c r="W21" s="15">
        <f t="shared" si="1"/>
        <v>1.1200000000000002E-2</v>
      </c>
      <c r="X21" s="15">
        <v>9.6999999999999993</v>
      </c>
      <c r="Y21" s="15"/>
      <c r="Z21" s="15">
        <v>21.1</v>
      </c>
      <c r="AA21" s="15">
        <v>3.94</v>
      </c>
      <c r="AB21" s="15">
        <v>3.96</v>
      </c>
      <c r="AC21" s="14">
        <f t="shared" si="2"/>
        <v>7.9</v>
      </c>
      <c r="AD21" s="15"/>
      <c r="AE21" s="15"/>
      <c r="AF21" s="15">
        <v>94.16</v>
      </c>
      <c r="AG21" s="15">
        <v>13.69</v>
      </c>
      <c r="AH21" s="15">
        <v>30.9</v>
      </c>
      <c r="AI21" s="17">
        <v>0.4</v>
      </c>
      <c r="AJ21" s="15"/>
      <c r="AK21" s="16">
        <f>SUM(X21+Z21+AG21)*0.014</f>
        <v>0.62286000000000008</v>
      </c>
      <c r="AL21" s="17"/>
      <c r="AM21" s="15"/>
      <c r="AO21" s="15">
        <f>X21+AH21</f>
        <v>40.599999999999994</v>
      </c>
      <c r="AP21" s="21">
        <f>AO21*0.014</f>
        <v>0.56839999999999991</v>
      </c>
    </row>
    <row r="22" spans="1:42" s="40" customFormat="1">
      <c r="A22" s="40" t="s">
        <v>40</v>
      </c>
      <c r="B22" s="40" t="s">
        <v>45</v>
      </c>
      <c r="C22" s="47" t="s">
        <v>0</v>
      </c>
      <c r="D22" s="39">
        <v>37838</v>
      </c>
      <c r="E22" s="49">
        <v>0.35555555555555557</v>
      </c>
      <c r="F22" s="15"/>
      <c r="G22" s="15"/>
      <c r="H22" s="15"/>
      <c r="I22" s="14">
        <v>1.1499999999999999</v>
      </c>
      <c r="J22" s="14">
        <v>25</v>
      </c>
      <c r="K22" s="15">
        <v>3.94</v>
      </c>
      <c r="L22" s="14">
        <v>56.8</v>
      </c>
      <c r="M22" s="14"/>
      <c r="O22" s="42"/>
      <c r="R22" s="14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4"/>
      <c r="AD22" s="15"/>
      <c r="AE22" s="15">
        <v>0.93530725594449826</v>
      </c>
      <c r="AF22" s="15"/>
      <c r="AG22" s="15"/>
      <c r="AH22" s="15"/>
      <c r="AI22" s="17"/>
      <c r="AJ22" s="15"/>
      <c r="AK22" s="16"/>
      <c r="AL22" s="17"/>
      <c r="AM22" s="15">
        <v>8.4362390181941045</v>
      </c>
      <c r="AP22" s="21"/>
    </row>
    <row r="23" spans="1:42" s="40" customFormat="1">
      <c r="A23" s="40" t="s">
        <v>40</v>
      </c>
      <c r="B23" s="40" t="s">
        <v>41</v>
      </c>
      <c r="C23" s="47" t="s">
        <v>0</v>
      </c>
      <c r="D23" s="39">
        <v>37852</v>
      </c>
      <c r="E23" s="49">
        <v>0.3347222222222222</v>
      </c>
      <c r="F23" s="15">
        <v>2.5</v>
      </c>
      <c r="G23" s="15">
        <v>1.55</v>
      </c>
      <c r="H23" s="15"/>
      <c r="I23" s="14">
        <v>0.5</v>
      </c>
      <c r="J23" s="14">
        <v>23.7</v>
      </c>
      <c r="K23" s="15">
        <v>5.19</v>
      </c>
      <c r="L23" s="14">
        <v>72.8</v>
      </c>
      <c r="M23" s="14"/>
      <c r="N23" s="40" t="s">
        <v>46</v>
      </c>
      <c r="O23" s="42" t="s">
        <v>57</v>
      </c>
      <c r="P23" s="40" t="s">
        <v>50</v>
      </c>
      <c r="R23" s="14">
        <v>30</v>
      </c>
      <c r="S23" s="15">
        <v>1</v>
      </c>
      <c r="T23" s="15">
        <v>5.4</v>
      </c>
      <c r="U23" s="15">
        <f t="shared" si="0"/>
        <v>7.5600000000000001E-2</v>
      </c>
      <c r="V23" s="15">
        <v>0.1</v>
      </c>
      <c r="W23" s="15">
        <f t="shared" si="1"/>
        <v>1.4000000000000002E-3</v>
      </c>
      <c r="X23" s="15">
        <v>5.6</v>
      </c>
      <c r="Y23" s="15"/>
      <c r="Z23" s="15">
        <v>14.9</v>
      </c>
      <c r="AA23" s="15">
        <v>4.0199999999999996</v>
      </c>
      <c r="AB23" s="15">
        <v>0.28000000000000003</v>
      </c>
      <c r="AC23" s="14">
        <f t="shared" si="2"/>
        <v>4.3</v>
      </c>
      <c r="AD23" s="15"/>
      <c r="AE23" s="15"/>
      <c r="AF23" s="15">
        <v>138.62</v>
      </c>
      <c r="AG23" s="15">
        <v>16.43</v>
      </c>
      <c r="AH23" s="15">
        <v>20.5</v>
      </c>
      <c r="AI23" s="17">
        <v>0.3</v>
      </c>
      <c r="AJ23" s="15"/>
      <c r="AK23" s="16">
        <f>SUM(X23+Z23+AG23)*0.014</f>
        <v>0.51702000000000004</v>
      </c>
      <c r="AL23" s="17"/>
      <c r="AM23" s="15"/>
      <c r="AO23" s="15">
        <f>X23+AH23</f>
        <v>26.1</v>
      </c>
      <c r="AP23" s="21">
        <f>AO23*0.014</f>
        <v>0.3654</v>
      </c>
    </row>
    <row r="24" spans="1:42" s="40" customFormat="1">
      <c r="A24" s="40" t="s">
        <v>40</v>
      </c>
      <c r="B24" s="40" t="s">
        <v>45</v>
      </c>
      <c r="C24" s="47" t="s">
        <v>0</v>
      </c>
      <c r="D24" s="39">
        <v>37852</v>
      </c>
      <c r="E24" s="49">
        <v>0.33611111111111108</v>
      </c>
      <c r="F24" s="15"/>
      <c r="G24" s="15"/>
      <c r="H24" s="15"/>
      <c r="I24" s="14">
        <v>1.55</v>
      </c>
      <c r="J24" s="14">
        <v>23.4</v>
      </c>
      <c r="K24" s="15">
        <v>5.33</v>
      </c>
      <c r="L24" s="14">
        <v>73.8</v>
      </c>
      <c r="M24" s="14"/>
      <c r="O24" s="42"/>
      <c r="R24" s="1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4"/>
      <c r="AD24" s="15"/>
      <c r="AE24" s="15">
        <v>0.69292475744088633</v>
      </c>
      <c r="AF24" s="15"/>
      <c r="AG24" s="15"/>
      <c r="AH24" s="15"/>
      <c r="AI24" s="17"/>
      <c r="AJ24" s="15"/>
      <c r="AK24" s="16"/>
      <c r="AL24" s="17"/>
      <c r="AM24" s="15">
        <v>7.7346223745826483</v>
      </c>
      <c r="AP24" s="21"/>
    </row>
    <row r="25" spans="1:42" s="40" customFormat="1">
      <c r="A25" s="40" t="s">
        <v>40</v>
      </c>
      <c r="B25" s="40" t="s">
        <v>41</v>
      </c>
      <c r="C25" s="47" t="s">
        <v>0</v>
      </c>
      <c r="D25" s="39">
        <v>37867</v>
      </c>
      <c r="E25" s="49">
        <v>0.33333333333333331</v>
      </c>
      <c r="F25" s="15">
        <v>2.7</v>
      </c>
      <c r="G25" s="15">
        <v>1.85</v>
      </c>
      <c r="H25" s="15">
        <f>SUM(G15:G25)/6</f>
        <v>1.5499999999999998</v>
      </c>
      <c r="I25" s="14">
        <v>0.5</v>
      </c>
      <c r="J25" s="14">
        <v>19.5</v>
      </c>
      <c r="K25" s="15">
        <v>4.7</v>
      </c>
      <c r="L25" s="14">
        <v>61.3</v>
      </c>
      <c r="M25" s="14">
        <f>SUM(K15:K25)/11</f>
        <v>5.0554545454545456</v>
      </c>
      <c r="N25" s="40" t="s">
        <v>46</v>
      </c>
      <c r="O25" s="42" t="s">
        <v>58</v>
      </c>
      <c r="P25" s="40" t="s">
        <v>59</v>
      </c>
      <c r="Q25" s="40" t="s">
        <v>42</v>
      </c>
      <c r="R25" s="14">
        <v>30</v>
      </c>
      <c r="S25" s="15">
        <v>1.2</v>
      </c>
      <c r="T25" s="15">
        <v>20.399999999999999</v>
      </c>
      <c r="U25" s="15">
        <f t="shared" si="0"/>
        <v>0.28559999999999997</v>
      </c>
      <c r="V25" s="15">
        <v>0.5</v>
      </c>
      <c r="W25" s="15">
        <f t="shared" si="1"/>
        <v>7.0000000000000001E-3</v>
      </c>
      <c r="X25" s="15">
        <v>20.9</v>
      </c>
      <c r="Y25" s="15"/>
      <c r="Z25" s="15">
        <v>12.7</v>
      </c>
      <c r="AA25" s="15">
        <v>32</v>
      </c>
      <c r="AB25" s="15">
        <v>1.4</v>
      </c>
      <c r="AC25" s="14">
        <v>4.5999999999999996</v>
      </c>
      <c r="AD25" s="15"/>
      <c r="AE25" s="15"/>
      <c r="AF25" s="15">
        <v>65.39</v>
      </c>
      <c r="AG25" s="15">
        <v>5.45</v>
      </c>
      <c r="AH25" s="15">
        <v>33.6</v>
      </c>
      <c r="AI25" s="17">
        <v>0.5</v>
      </c>
      <c r="AJ25" s="15"/>
      <c r="AK25" s="16">
        <f>SUM(X25+Z25+AG25)*0.014</f>
        <v>0.54669999999999996</v>
      </c>
      <c r="AL25" s="17"/>
      <c r="AM25" s="15"/>
      <c r="AO25" s="15">
        <f>X25+AH25</f>
        <v>54.5</v>
      </c>
      <c r="AP25" s="21">
        <f>AO25*0.014</f>
        <v>0.76300000000000001</v>
      </c>
    </row>
    <row r="26" spans="1:42" s="40" customFormat="1">
      <c r="A26" s="40" t="s">
        <v>40</v>
      </c>
      <c r="B26" s="40" t="s">
        <v>45</v>
      </c>
      <c r="C26" s="47" t="s">
        <v>0</v>
      </c>
      <c r="D26" s="39">
        <v>37867</v>
      </c>
      <c r="E26" s="49">
        <v>0.3347222222222222</v>
      </c>
      <c r="F26" s="15"/>
      <c r="G26" s="15"/>
      <c r="H26" s="15"/>
      <c r="I26" s="14">
        <v>1.3</v>
      </c>
      <c r="J26" s="14">
        <v>19.7</v>
      </c>
      <c r="K26" s="15">
        <v>5.16</v>
      </c>
      <c r="L26" s="14">
        <v>67.2</v>
      </c>
      <c r="M26" s="14"/>
      <c r="O26" s="42"/>
      <c r="R26" s="14"/>
      <c r="S26" s="15"/>
      <c r="T26" s="15"/>
      <c r="U26" s="15"/>
      <c r="V26" s="15"/>
      <c r="W26" s="15"/>
      <c r="X26" s="15"/>
      <c r="Y26" s="15">
        <f>SUM(X15:X26)/6</f>
        <v>8.6666666666666661</v>
      </c>
      <c r="Z26" s="15"/>
      <c r="AA26" s="15"/>
      <c r="AB26" s="15"/>
      <c r="AC26" s="14"/>
      <c r="AD26" s="15">
        <f>SUM(AC15:AC26)/6</f>
        <v>6.2349999999999994</v>
      </c>
      <c r="AE26" s="15">
        <v>0.18344354641195201</v>
      </c>
      <c r="AF26" s="15"/>
      <c r="AG26" s="15"/>
      <c r="AH26" s="15"/>
      <c r="AI26" s="17"/>
      <c r="AJ26" s="15">
        <f>SUM(AI15:AI26)/6</f>
        <v>0.35000000000000003</v>
      </c>
      <c r="AK26" s="16"/>
      <c r="AL26" s="17">
        <f>SUM(AK15:AK26)/6</f>
        <v>0.52688999999999997</v>
      </c>
      <c r="AM26" s="15">
        <v>7.3273176729392642</v>
      </c>
      <c r="AP26" s="21"/>
    </row>
    <row r="27" spans="1:42" s="40" customFormat="1">
      <c r="A27" s="40" t="s">
        <v>40</v>
      </c>
      <c r="B27" s="40" t="s">
        <v>41</v>
      </c>
      <c r="C27" s="47" t="s">
        <v>0</v>
      </c>
      <c r="D27" s="39">
        <v>38161</v>
      </c>
      <c r="E27" s="49">
        <v>0.35069444444444442</v>
      </c>
      <c r="F27" s="15">
        <v>2.2000000000000002</v>
      </c>
      <c r="G27" s="15">
        <v>1.9</v>
      </c>
      <c r="H27" s="15"/>
      <c r="I27" s="14">
        <v>0.5</v>
      </c>
      <c r="J27" s="14">
        <v>20</v>
      </c>
      <c r="K27" s="15">
        <v>4.58</v>
      </c>
      <c r="L27" s="14">
        <v>60.9</v>
      </c>
      <c r="M27" s="14"/>
      <c r="N27" s="40" t="s">
        <v>46</v>
      </c>
      <c r="O27" s="42" t="s">
        <v>60</v>
      </c>
      <c r="P27" s="40" t="s">
        <v>61</v>
      </c>
      <c r="Q27" s="40" t="s">
        <v>42</v>
      </c>
      <c r="R27" s="14">
        <v>30.1</v>
      </c>
      <c r="S27" s="15">
        <v>0.6</v>
      </c>
      <c r="T27" s="15">
        <v>4.8</v>
      </c>
      <c r="U27" s="15">
        <f>T27*0.014</f>
        <v>6.7199999999999996E-2</v>
      </c>
      <c r="V27" s="15">
        <v>0.96</v>
      </c>
      <c r="W27" s="15">
        <f t="shared" ref="W27:W68" si="3">V27*0.014</f>
        <v>1.3440000000000001E-2</v>
      </c>
      <c r="X27" s="15">
        <v>5.79</v>
      </c>
      <c r="Y27" s="15"/>
      <c r="Z27" s="15">
        <v>20.440000000000001</v>
      </c>
      <c r="AA27" s="15">
        <v>0.64</v>
      </c>
      <c r="AB27" s="15">
        <v>2.83</v>
      </c>
      <c r="AC27" s="14">
        <f>AA27+AB27</f>
        <v>3.47</v>
      </c>
      <c r="AD27" s="15"/>
      <c r="AE27" s="15">
        <v>0.76256030610547343</v>
      </c>
      <c r="AF27" s="15">
        <v>52.03</v>
      </c>
      <c r="AG27" s="15">
        <v>7.1</v>
      </c>
      <c r="AH27" s="15">
        <v>26.23</v>
      </c>
      <c r="AI27" s="17">
        <f>AH27*0.014</f>
        <v>0.36721999999999999</v>
      </c>
      <c r="AJ27" s="15"/>
      <c r="AK27" s="16">
        <f>SUM(X27+Z27+AG27)*0.014</f>
        <v>0.46661999999999998</v>
      </c>
      <c r="AL27" s="17"/>
      <c r="AM27" s="15">
        <v>6.5857050523602743</v>
      </c>
      <c r="AO27" s="15">
        <f>X27+AH27</f>
        <v>32.020000000000003</v>
      </c>
      <c r="AP27" s="21">
        <f>AO27*0.014</f>
        <v>0.44828000000000007</v>
      </c>
    </row>
    <row r="28" spans="1:42" s="40" customFormat="1">
      <c r="A28" s="40" t="s">
        <v>40</v>
      </c>
      <c r="B28" s="40" t="s">
        <v>45</v>
      </c>
      <c r="C28" s="47" t="s">
        <v>0</v>
      </c>
      <c r="D28" s="39">
        <v>38161</v>
      </c>
      <c r="E28" s="49">
        <v>0.3520833333333333</v>
      </c>
      <c r="F28" s="15"/>
      <c r="G28" s="15"/>
      <c r="H28" s="15"/>
      <c r="I28" s="14">
        <v>1.1000000000000001</v>
      </c>
      <c r="J28" s="14">
        <v>20</v>
      </c>
      <c r="K28" s="15">
        <v>4.63</v>
      </c>
      <c r="L28" s="14">
        <v>61</v>
      </c>
      <c r="M28" s="14"/>
      <c r="O28" s="42"/>
      <c r="R28" s="14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4"/>
      <c r="AD28" s="15"/>
      <c r="AE28" s="15">
        <v>0.78609651255562296</v>
      </c>
      <c r="AF28" s="15"/>
      <c r="AG28" s="15"/>
      <c r="AH28" s="15"/>
      <c r="AI28" s="17"/>
      <c r="AJ28" s="15"/>
      <c r="AK28" s="16"/>
      <c r="AL28" s="17"/>
      <c r="AM28" s="15">
        <v>6.2682360013332303</v>
      </c>
      <c r="AP28" s="21"/>
    </row>
    <row r="29" spans="1:42" s="40" customFormat="1">
      <c r="A29" s="40" t="s">
        <v>40</v>
      </c>
      <c r="B29" s="40" t="s">
        <v>41</v>
      </c>
      <c r="C29" s="47" t="s">
        <v>0</v>
      </c>
      <c r="D29" s="39">
        <v>38175</v>
      </c>
      <c r="E29" s="49">
        <v>0.37361111111111112</v>
      </c>
      <c r="F29" s="15">
        <v>2.1</v>
      </c>
      <c r="G29" s="15">
        <v>1.5</v>
      </c>
      <c r="H29" s="15"/>
      <c r="I29" s="14">
        <v>0.5</v>
      </c>
      <c r="J29" s="14">
        <v>23.3</v>
      </c>
      <c r="K29" s="15">
        <v>4.28</v>
      </c>
      <c r="L29" s="14">
        <v>60.3</v>
      </c>
      <c r="M29" s="14"/>
      <c r="N29" s="40" t="s">
        <v>46</v>
      </c>
      <c r="O29" s="42" t="s">
        <v>62</v>
      </c>
      <c r="P29" s="40" t="s">
        <v>59</v>
      </c>
      <c r="Q29" s="40" t="s">
        <v>63</v>
      </c>
      <c r="R29" s="14">
        <v>29.7</v>
      </c>
      <c r="S29" s="15">
        <v>0.9</v>
      </c>
      <c r="T29" s="15">
        <v>2.2999999999999998</v>
      </c>
      <c r="U29" s="15">
        <f>T29*0.014</f>
        <v>3.2199999999999999E-2</v>
      </c>
      <c r="V29" s="15">
        <v>0.61</v>
      </c>
      <c r="W29" s="15">
        <f t="shared" si="3"/>
        <v>8.5400000000000007E-3</v>
      </c>
      <c r="X29" s="15">
        <v>2.88</v>
      </c>
      <c r="Y29" s="15"/>
      <c r="Z29" s="15">
        <v>18.36</v>
      </c>
      <c r="AA29" s="15">
        <v>6.23</v>
      </c>
      <c r="AB29" s="15">
        <v>1.94</v>
      </c>
      <c r="AC29" s="14">
        <f t="shared" ref="AC29:AC34" si="4">AA29+AB29</f>
        <v>8.17</v>
      </c>
      <c r="AD29" s="15"/>
      <c r="AE29" s="15">
        <v>0.65932651222098937</v>
      </c>
      <c r="AF29" s="15">
        <v>52.96</v>
      </c>
      <c r="AG29" s="15">
        <v>8.0399999999999991</v>
      </c>
      <c r="AH29" s="15">
        <v>21.25</v>
      </c>
      <c r="AI29" s="17">
        <f t="shared" ref="AI29:AI72" si="5">AH29*0.014</f>
        <v>0.29749999999999999</v>
      </c>
      <c r="AJ29" s="15"/>
      <c r="AK29" s="16">
        <f>SUM(X29+Z29+AG29)*0.014</f>
        <v>0.40991999999999995</v>
      </c>
      <c r="AL29" s="17"/>
      <c r="AM29" s="15">
        <v>6.8957633964612288</v>
      </c>
      <c r="AO29" s="15">
        <f>X29+AH29</f>
        <v>24.13</v>
      </c>
      <c r="AP29" s="21">
        <f>AO29*0.014</f>
        <v>0.33782000000000001</v>
      </c>
    </row>
    <row r="30" spans="1:42" s="40" customFormat="1">
      <c r="A30" s="40" t="s">
        <v>40</v>
      </c>
      <c r="B30" s="40" t="s">
        <v>45</v>
      </c>
      <c r="C30" s="47" t="s">
        <v>0</v>
      </c>
      <c r="D30" s="39">
        <v>38175</v>
      </c>
      <c r="E30" s="49">
        <v>0.3743055555555555</v>
      </c>
      <c r="F30" s="15"/>
      <c r="G30" s="15"/>
      <c r="H30" s="15"/>
      <c r="I30" s="14">
        <v>1</v>
      </c>
      <c r="J30" s="14">
        <v>23.3</v>
      </c>
      <c r="K30" s="15">
        <v>4.3600000000000003</v>
      </c>
      <c r="L30" s="14">
        <v>60</v>
      </c>
      <c r="M30" s="14"/>
      <c r="O30" s="42"/>
      <c r="R30" s="14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4"/>
      <c r="AD30" s="15"/>
      <c r="AE30" s="15">
        <v>0.69193253403779731</v>
      </c>
      <c r="AF30" s="15"/>
      <c r="AG30" s="15"/>
      <c r="AH30" s="15"/>
      <c r="AI30" s="17"/>
      <c r="AJ30" s="15"/>
      <c r="AK30" s="16"/>
      <c r="AL30" s="17"/>
      <c r="AM30" s="15">
        <v>7.9225415832712125</v>
      </c>
      <c r="AP30" s="21"/>
    </row>
    <row r="31" spans="1:42" s="40" customFormat="1">
      <c r="A31" s="40" t="s">
        <v>40</v>
      </c>
      <c r="B31" s="47" t="s">
        <v>41</v>
      </c>
      <c r="C31" s="47" t="s">
        <v>0</v>
      </c>
      <c r="D31" s="39">
        <v>38190</v>
      </c>
      <c r="E31" s="49">
        <v>0.3298611111111111</v>
      </c>
      <c r="F31" s="15">
        <v>1.9</v>
      </c>
      <c r="G31" s="15">
        <v>1.6</v>
      </c>
      <c r="H31" s="15"/>
      <c r="I31" s="14">
        <v>0.5</v>
      </c>
      <c r="J31" s="14">
        <v>24.5</v>
      </c>
      <c r="K31" s="15">
        <v>5.09</v>
      </c>
      <c r="L31" s="14">
        <v>73.599999999999994</v>
      </c>
      <c r="M31" s="14"/>
      <c r="N31" s="40" t="s">
        <v>64</v>
      </c>
      <c r="O31" s="42" t="s">
        <v>60</v>
      </c>
      <c r="P31" s="40" t="s">
        <v>50</v>
      </c>
      <c r="Q31" s="40" t="s">
        <v>65</v>
      </c>
      <c r="R31" s="14">
        <v>30.5</v>
      </c>
      <c r="S31" s="15">
        <v>0.9</v>
      </c>
      <c r="T31" s="15">
        <v>2.1</v>
      </c>
      <c r="U31" s="15">
        <f>T31*0.014</f>
        <v>2.9400000000000003E-2</v>
      </c>
      <c r="V31" s="15">
        <v>1.1499999999999999</v>
      </c>
      <c r="W31" s="15">
        <f t="shared" si="3"/>
        <v>1.61E-2</v>
      </c>
      <c r="X31" s="15">
        <v>3.22</v>
      </c>
      <c r="Y31" s="15"/>
      <c r="Z31" s="15">
        <v>35.22</v>
      </c>
      <c r="AA31" s="15">
        <v>8.58</v>
      </c>
      <c r="AB31" s="15">
        <v>2.33</v>
      </c>
      <c r="AC31" s="14">
        <f t="shared" si="4"/>
        <v>10.91</v>
      </c>
      <c r="AD31" s="15"/>
      <c r="AE31" s="15"/>
      <c r="AF31" s="15">
        <v>57.45</v>
      </c>
      <c r="AG31" s="15">
        <v>9.17</v>
      </c>
      <c r="AH31" s="15">
        <v>28.44</v>
      </c>
      <c r="AI31" s="17">
        <f t="shared" si="5"/>
        <v>0.39816000000000001</v>
      </c>
      <c r="AJ31" s="15"/>
      <c r="AK31" s="16">
        <f>SUM(X31+Z31+AG31)*0.014</f>
        <v>0.66654000000000002</v>
      </c>
      <c r="AL31" s="17"/>
      <c r="AM31" s="15"/>
      <c r="AO31" s="15">
        <f>X31+AH31</f>
        <v>31.66</v>
      </c>
      <c r="AP31" s="21">
        <f>AO31*0.014</f>
        <v>0.44324000000000002</v>
      </c>
    </row>
    <row r="32" spans="1:42" s="40" customFormat="1">
      <c r="A32" s="40" t="s">
        <v>40</v>
      </c>
      <c r="B32" s="47" t="s">
        <v>45</v>
      </c>
      <c r="C32" s="47" t="s">
        <v>0</v>
      </c>
      <c r="D32" s="39">
        <v>38190</v>
      </c>
      <c r="E32" s="49">
        <v>0.3298611111111111</v>
      </c>
      <c r="F32" s="15"/>
      <c r="G32" s="15"/>
      <c r="H32" s="15"/>
      <c r="I32" s="14">
        <v>0.95</v>
      </c>
      <c r="J32" s="14">
        <v>24.6</v>
      </c>
      <c r="K32" s="15">
        <v>5.0999999999999996</v>
      </c>
      <c r="L32" s="14">
        <v>73</v>
      </c>
      <c r="M32" s="14"/>
      <c r="O32" s="42"/>
      <c r="R32" s="14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4"/>
      <c r="AD32" s="15"/>
      <c r="AE32" s="15"/>
      <c r="AF32" s="15"/>
      <c r="AG32" s="15"/>
      <c r="AH32" s="15"/>
      <c r="AI32" s="17"/>
      <c r="AJ32" s="15"/>
      <c r="AK32" s="16"/>
      <c r="AL32" s="17"/>
      <c r="AM32" s="15"/>
      <c r="AP32" s="21"/>
    </row>
    <row r="33" spans="1:42" s="40" customFormat="1">
      <c r="A33" s="40" t="s">
        <v>40</v>
      </c>
      <c r="B33" s="47" t="s">
        <v>45</v>
      </c>
      <c r="C33" s="47" t="s">
        <v>0</v>
      </c>
      <c r="D33" s="39">
        <v>38218</v>
      </c>
      <c r="E33" s="49">
        <v>0.35069444444444442</v>
      </c>
      <c r="F33" s="15">
        <v>1.7</v>
      </c>
      <c r="G33" s="15">
        <v>1.1000000000000001</v>
      </c>
      <c r="H33" s="15"/>
      <c r="I33" s="14">
        <v>0.85</v>
      </c>
      <c r="J33" s="14">
        <v>22.3</v>
      </c>
      <c r="K33" s="15">
        <v>4.6900000000000004</v>
      </c>
      <c r="L33" s="14">
        <v>64.5</v>
      </c>
      <c r="M33" s="14"/>
      <c r="N33" s="40" t="s">
        <v>49</v>
      </c>
      <c r="O33" s="42" t="s">
        <v>66</v>
      </c>
      <c r="P33" s="40" t="s">
        <v>50</v>
      </c>
      <c r="Q33" s="40" t="s">
        <v>67</v>
      </c>
      <c r="R33" s="14">
        <v>30.3</v>
      </c>
      <c r="S33" s="15">
        <v>1.3</v>
      </c>
      <c r="T33" s="15">
        <v>7.8</v>
      </c>
      <c r="U33" s="15">
        <f t="shared" ref="U33:W79" si="6">T33*0.014</f>
        <v>0.10920000000000001</v>
      </c>
      <c r="V33" s="15">
        <v>1.53</v>
      </c>
      <c r="W33" s="15">
        <f t="shared" si="3"/>
        <v>2.1420000000000002E-2</v>
      </c>
      <c r="X33" s="15">
        <v>9.35</v>
      </c>
      <c r="Y33" s="15"/>
      <c r="Z33" s="15">
        <v>24.76</v>
      </c>
      <c r="AA33" s="15">
        <v>5.22</v>
      </c>
      <c r="AB33" s="15">
        <v>2.7</v>
      </c>
      <c r="AC33" s="14">
        <f t="shared" si="4"/>
        <v>7.92</v>
      </c>
      <c r="AD33" s="15"/>
      <c r="AE33" s="15"/>
      <c r="AF33" s="15">
        <v>82.73</v>
      </c>
      <c r="AG33" s="15">
        <v>12</v>
      </c>
      <c r="AH33" s="15">
        <v>24.1</v>
      </c>
      <c r="AI33" s="17">
        <f t="shared" si="5"/>
        <v>0.33740000000000003</v>
      </c>
      <c r="AJ33" s="15"/>
      <c r="AK33" s="16">
        <f t="shared" ref="AK33:AK79" si="7">SUM(X33+Z33+AG33)*0.014</f>
        <v>0.64554</v>
      </c>
      <c r="AL33" s="17"/>
      <c r="AM33" s="15"/>
      <c r="AO33" s="15">
        <f>X33+AH33</f>
        <v>33.450000000000003</v>
      </c>
      <c r="AP33" s="21">
        <f>AO33*0.014</f>
        <v>0.46830000000000005</v>
      </c>
    </row>
    <row r="34" spans="1:42" s="40" customFormat="1">
      <c r="A34" s="40" t="s">
        <v>40</v>
      </c>
      <c r="B34" s="47" t="s">
        <v>45</v>
      </c>
      <c r="C34" s="47" t="s">
        <v>0</v>
      </c>
      <c r="D34" s="39">
        <v>38237</v>
      </c>
      <c r="E34" s="49">
        <v>0.33333333333333331</v>
      </c>
      <c r="F34" s="15">
        <v>2.1</v>
      </c>
      <c r="G34" s="15">
        <v>1.52</v>
      </c>
      <c r="H34" s="15">
        <f>SUM(G27:G34)/5</f>
        <v>1.5239999999999998</v>
      </c>
      <c r="I34" s="14">
        <v>1.05</v>
      </c>
      <c r="J34" s="14">
        <v>19.899999999999999</v>
      </c>
      <c r="K34" s="15">
        <v>6.14</v>
      </c>
      <c r="L34" s="14">
        <v>80.400000000000006</v>
      </c>
      <c r="M34" s="14">
        <f>SUM(K27:K34)/8</f>
        <v>4.8587499999999997</v>
      </c>
      <c r="N34" s="40" t="s">
        <v>46</v>
      </c>
      <c r="O34" s="42" t="s">
        <v>62</v>
      </c>
      <c r="P34" s="40" t="s">
        <v>68</v>
      </c>
      <c r="Q34" s="40" t="s">
        <v>42</v>
      </c>
      <c r="R34" s="14">
        <v>31.4</v>
      </c>
      <c r="S34" s="15">
        <v>0.6</v>
      </c>
      <c r="T34" s="15">
        <v>1.2</v>
      </c>
      <c r="U34" s="15">
        <f t="shared" si="6"/>
        <v>1.6799999999999999E-2</v>
      </c>
      <c r="V34" s="15">
        <v>0.64</v>
      </c>
      <c r="W34" s="15">
        <f t="shared" si="3"/>
        <v>8.9600000000000009E-3</v>
      </c>
      <c r="X34" s="15">
        <v>1.79</v>
      </c>
      <c r="Y34" s="15">
        <f>SUM(X27:X34)/5</f>
        <v>4.6059999999999999</v>
      </c>
      <c r="Z34" s="15">
        <v>27.33</v>
      </c>
      <c r="AA34" s="15">
        <v>3.14</v>
      </c>
      <c r="AB34" s="15">
        <v>1.4</v>
      </c>
      <c r="AC34" s="14">
        <f t="shared" si="4"/>
        <v>4.54</v>
      </c>
      <c r="AD34" s="15">
        <f>SUM(AC27:AC34)/5</f>
        <v>7.0019999999999998</v>
      </c>
      <c r="AE34" s="15"/>
      <c r="AF34" s="15">
        <v>62.13</v>
      </c>
      <c r="AG34" s="15">
        <v>6.58</v>
      </c>
      <c r="AH34" s="15">
        <v>29.12</v>
      </c>
      <c r="AI34" s="17">
        <f t="shared" si="5"/>
        <v>0.40768000000000004</v>
      </c>
      <c r="AJ34" s="15">
        <f>SUM(AI27:AI34)/5</f>
        <v>0.36159200000000002</v>
      </c>
      <c r="AK34" s="16">
        <f t="shared" si="7"/>
        <v>0.49979999999999997</v>
      </c>
      <c r="AL34" s="17">
        <f>SUM(AK27:AK34)/5</f>
        <v>0.53768399999999994</v>
      </c>
      <c r="AM34" s="15"/>
      <c r="AP34" s="21"/>
    </row>
    <row r="35" spans="1:42" s="40" customFormat="1">
      <c r="A35" s="50" t="s">
        <v>40</v>
      </c>
      <c r="B35" s="47" t="s">
        <v>45</v>
      </c>
      <c r="C35" s="50" t="s">
        <v>0</v>
      </c>
      <c r="D35" s="88">
        <v>38517</v>
      </c>
      <c r="E35" s="49"/>
      <c r="F35" s="51">
        <v>2.6</v>
      </c>
      <c r="G35" s="15">
        <v>1.55</v>
      </c>
      <c r="H35" s="15"/>
      <c r="I35" s="14"/>
      <c r="J35" s="52">
        <v>21.3</v>
      </c>
      <c r="K35" s="29">
        <v>3.87</v>
      </c>
      <c r="L35" s="52">
        <v>51.5</v>
      </c>
      <c r="M35" s="14"/>
      <c r="O35" s="42"/>
      <c r="R35" s="52">
        <v>29.1</v>
      </c>
      <c r="S35" s="29">
        <v>1.0423833074918276</v>
      </c>
      <c r="T35" s="29">
        <v>7.5424439656129927</v>
      </c>
      <c r="U35" s="15">
        <f t="shared" si="6"/>
        <v>0.1055942155185819</v>
      </c>
      <c r="V35" s="29">
        <v>0.56442000000000003</v>
      </c>
      <c r="W35" s="15">
        <f t="shared" si="3"/>
        <v>7.90188E-3</v>
      </c>
      <c r="X35" s="29">
        <v>8.1068639656129928</v>
      </c>
      <c r="Y35" s="15"/>
      <c r="Z35" s="29">
        <v>17.645176034387006</v>
      </c>
      <c r="AA35" s="29">
        <v>2.3311007142857143</v>
      </c>
      <c r="AB35" s="29">
        <v>1.2515433456101184</v>
      </c>
      <c r="AC35" s="52">
        <v>3.5826440598958325</v>
      </c>
      <c r="AD35" s="15"/>
      <c r="AE35" s="29">
        <v>0.65066489311067432</v>
      </c>
      <c r="AF35" s="29">
        <v>57.257619439488842</v>
      </c>
      <c r="AG35" s="29">
        <v>8.4974088923550344</v>
      </c>
      <c r="AH35" s="29">
        <v>26.142584926742039</v>
      </c>
      <c r="AI35" s="17">
        <f t="shared" si="5"/>
        <v>0.36599618897438857</v>
      </c>
      <c r="AJ35" s="15"/>
      <c r="AK35" s="16">
        <f t="shared" si="7"/>
        <v>0.47949228449297049</v>
      </c>
      <c r="AL35" s="17"/>
      <c r="AM35" s="29">
        <v>6.738244583122567</v>
      </c>
      <c r="AO35" s="15">
        <f t="shared" ref="AO35:AO46" si="8">X35+AH35</f>
        <v>34.249448892355034</v>
      </c>
      <c r="AP35" s="21">
        <f t="shared" ref="AP35:AP79" si="9">AO35*0.014</f>
        <v>0.47949228449297049</v>
      </c>
    </row>
    <row r="36" spans="1:42" s="40" customFormat="1">
      <c r="A36" s="50" t="s">
        <v>40</v>
      </c>
      <c r="B36" s="47" t="s">
        <v>45</v>
      </c>
      <c r="C36" s="50" t="s">
        <v>0</v>
      </c>
      <c r="D36" s="88">
        <v>38546</v>
      </c>
      <c r="E36" s="49"/>
      <c r="F36" s="51">
        <v>2.6</v>
      </c>
      <c r="G36" s="15">
        <v>1.6</v>
      </c>
      <c r="H36" s="15"/>
      <c r="I36" s="14"/>
      <c r="J36" s="52">
        <v>21.6</v>
      </c>
      <c r="K36" s="29">
        <v>5.12</v>
      </c>
      <c r="L36" s="52">
        <v>69.2</v>
      </c>
      <c r="M36" s="14"/>
      <c r="O36" s="42"/>
      <c r="R36" s="53">
        <v>29.2</v>
      </c>
      <c r="S36" s="29">
        <v>0.53919172101026824</v>
      </c>
      <c r="T36" s="29">
        <v>3.5339606243941577</v>
      </c>
      <c r="U36" s="15">
        <f t="shared" si="6"/>
        <v>4.9475448741518206E-2</v>
      </c>
      <c r="V36" s="29">
        <v>0.69078295341922691</v>
      </c>
      <c r="W36" s="15">
        <f t="shared" si="3"/>
        <v>9.6709613478691767E-3</v>
      </c>
      <c r="X36" s="29">
        <v>4.2247435778133848</v>
      </c>
      <c r="Y36" s="15"/>
      <c r="Z36" s="29">
        <v>12.34725879889487</v>
      </c>
      <c r="AA36" s="29">
        <v>5.5309075000000014</v>
      </c>
      <c r="AB36" s="29">
        <v>1.251106809895834</v>
      </c>
      <c r="AC36" s="52">
        <v>6.7820143098958354</v>
      </c>
      <c r="AD36" s="15"/>
      <c r="AE36" s="29">
        <v>0.81552577851829244</v>
      </c>
      <c r="AF36" s="29">
        <v>57.45443159122933</v>
      </c>
      <c r="AG36" s="29">
        <v>9.1212455962078245</v>
      </c>
      <c r="AH36" s="29">
        <v>21.468504395102695</v>
      </c>
      <c r="AI36" s="17">
        <f t="shared" si="5"/>
        <v>0.30055906153143774</v>
      </c>
      <c r="AJ36" s="15"/>
      <c r="AK36" s="16">
        <f t="shared" si="7"/>
        <v>0.35970547162082511</v>
      </c>
      <c r="AL36" s="17"/>
      <c r="AM36" s="29">
        <v>6.2989677215923363</v>
      </c>
      <c r="AO36" s="15">
        <f t="shared" si="8"/>
        <v>25.69324797291608</v>
      </c>
      <c r="AP36" s="21">
        <f t="shared" si="9"/>
        <v>0.35970547162082511</v>
      </c>
    </row>
    <row r="37" spans="1:42" s="40" customFormat="1">
      <c r="A37" s="50" t="s">
        <v>40</v>
      </c>
      <c r="B37" s="47" t="s">
        <v>45</v>
      </c>
      <c r="C37" s="50" t="s">
        <v>0</v>
      </c>
      <c r="D37" s="88">
        <v>38559</v>
      </c>
      <c r="E37" s="49"/>
      <c r="F37" s="51">
        <v>2.2999999999999998</v>
      </c>
      <c r="G37" s="15">
        <v>1.07</v>
      </c>
      <c r="H37" s="15"/>
      <c r="I37" s="14"/>
      <c r="J37" s="52">
        <v>23</v>
      </c>
      <c r="K37" s="29">
        <v>3.46</v>
      </c>
      <c r="L37" s="52">
        <v>48.2</v>
      </c>
      <c r="M37" s="14"/>
      <c r="O37" s="42"/>
      <c r="R37" s="53">
        <v>29.2</v>
      </c>
      <c r="S37" s="29">
        <v>0.89409912126537783</v>
      </c>
      <c r="T37" s="29">
        <v>5.8745843365422488</v>
      </c>
      <c r="U37" s="15">
        <f t="shared" si="6"/>
        <v>8.224418071159148E-2</v>
      </c>
      <c r="V37" s="29">
        <v>0.97088701684836465</v>
      </c>
      <c r="W37" s="15">
        <f t="shared" si="3"/>
        <v>1.3592418235877105E-2</v>
      </c>
      <c r="X37" s="29">
        <v>6.8454713533906135</v>
      </c>
      <c r="Y37" s="15"/>
      <c r="Z37" s="29">
        <v>14.955289193252284</v>
      </c>
      <c r="AA37" s="29">
        <v>5.8667826380456933</v>
      </c>
      <c r="AB37" s="29">
        <v>3.151166485639636</v>
      </c>
      <c r="AC37" s="52">
        <v>9.0179491236853302</v>
      </c>
      <c r="AD37" s="15"/>
      <c r="AE37" s="29">
        <v>0.6505672806067172</v>
      </c>
      <c r="AF37" s="29">
        <v>92.068128514590114</v>
      </c>
      <c r="AG37" s="29">
        <v>12.235257208694538</v>
      </c>
      <c r="AH37" s="29">
        <v>27.190546401946822</v>
      </c>
      <c r="AI37" s="17">
        <f t="shared" si="5"/>
        <v>0.38066764962725552</v>
      </c>
      <c r="AJ37" s="15"/>
      <c r="AK37" s="16">
        <f t="shared" si="7"/>
        <v>0.47650424857472418</v>
      </c>
      <c r="AL37" s="17"/>
      <c r="AM37" s="29">
        <v>7.5248216644898376</v>
      </c>
      <c r="AO37" s="15">
        <f t="shared" si="8"/>
        <v>34.036017755337433</v>
      </c>
      <c r="AP37" s="21">
        <f t="shared" si="9"/>
        <v>0.47650424857472407</v>
      </c>
    </row>
    <row r="38" spans="1:42" s="40" customFormat="1">
      <c r="A38" s="50" t="s">
        <v>40</v>
      </c>
      <c r="B38" s="47" t="s">
        <v>45</v>
      </c>
      <c r="C38" s="50" t="s">
        <v>0</v>
      </c>
      <c r="D38" s="88">
        <v>38574</v>
      </c>
      <c r="E38" s="49"/>
      <c r="F38" s="51">
        <v>2.12</v>
      </c>
      <c r="G38" s="15">
        <v>1.3</v>
      </c>
      <c r="H38" s="15"/>
      <c r="I38" s="14"/>
      <c r="J38" s="52">
        <v>24.7</v>
      </c>
      <c r="K38" s="29">
        <v>2.41</v>
      </c>
      <c r="L38" s="52">
        <v>34.299999999999997</v>
      </c>
      <c r="M38" s="14"/>
      <c r="O38" s="42"/>
      <c r="R38" s="52">
        <v>29</v>
      </c>
      <c r="S38" s="29">
        <v>1.5411221476510066</v>
      </c>
      <c r="T38" s="29">
        <v>6.4924763232536904</v>
      </c>
      <c r="U38" s="15">
        <f t="shared" si="6"/>
        <v>9.089466852555167E-2</v>
      </c>
      <c r="V38" s="29">
        <v>1.02459117938553</v>
      </c>
      <c r="W38" s="15">
        <f t="shared" si="3"/>
        <v>1.434427651139742E-2</v>
      </c>
      <c r="X38" s="29">
        <v>7.51706750263922</v>
      </c>
      <c r="Y38" s="15"/>
      <c r="Z38" s="29">
        <v>24.325285438537243</v>
      </c>
      <c r="AA38" s="29">
        <v>6.234957264717047</v>
      </c>
      <c r="AB38" s="29">
        <v>3.0443958439049421</v>
      </c>
      <c r="AC38" s="52">
        <v>9.27935310862199</v>
      </c>
      <c r="AD38" s="15"/>
      <c r="AE38" s="29">
        <v>0.67191723299372919</v>
      </c>
      <c r="AF38" s="29">
        <v>77.040931092020159</v>
      </c>
      <c r="AG38" s="29">
        <v>11.980190428167216</v>
      </c>
      <c r="AH38" s="29">
        <v>36.305475866704455</v>
      </c>
      <c r="AI38" s="17">
        <f t="shared" si="5"/>
        <v>0.50827666213386236</v>
      </c>
      <c r="AJ38" s="15"/>
      <c r="AK38" s="16">
        <f t="shared" si="7"/>
        <v>0.61351560717081144</v>
      </c>
      <c r="AL38" s="17"/>
      <c r="AM38" s="29">
        <v>6.4306933645132576</v>
      </c>
      <c r="AO38" s="15">
        <f t="shared" si="8"/>
        <v>43.822543369343677</v>
      </c>
      <c r="AP38" s="21">
        <f t="shared" si="9"/>
        <v>0.61351560717081144</v>
      </c>
    </row>
    <row r="39" spans="1:42" s="40" customFormat="1">
      <c r="A39" s="50" t="s">
        <v>40</v>
      </c>
      <c r="B39" s="47" t="s">
        <v>45</v>
      </c>
      <c r="C39" s="50" t="s">
        <v>0</v>
      </c>
      <c r="D39" s="88">
        <v>38588</v>
      </c>
      <c r="E39" s="49"/>
      <c r="F39" s="51">
        <v>2.2999999999999998</v>
      </c>
      <c r="G39" s="15">
        <v>1.75</v>
      </c>
      <c r="H39" s="15"/>
      <c r="I39" s="14"/>
      <c r="J39" s="52">
        <v>23.2</v>
      </c>
      <c r="K39" s="29">
        <v>4.67</v>
      </c>
      <c r="L39" s="52">
        <v>65</v>
      </c>
      <c r="M39" s="14"/>
      <c r="O39" s="42"/>
      <c r="R39" s="52">
        <v>31.3</v>
      </c>
      <c r="S39" s="29">
        <v>1.1816680012631673</v>
      </c>
      <c r="T39" s="29">
        <v>3.623417192952362</v>
      </c>
      <c r="U39" s="15">
        <f t="shared" si="6"/>
        <v>5.0727840701333071E-2</v>
      </c>
      <c r="V39" s="29">
        <v>0.58442765113974227</v>
      </c>
      <c r="W39" s="15">
        <f t="shared" si="3"/>
        <v>8.181987115956392E-3</v>
      </c>
      <c r="X39" s="29">
        <v>4.2078448440921044</v>
      </c>
      <c r="Y39" s="15"/>
      <c r="Z39" s="29">
        <v>11.859107027565649</v>
      </c>
      <c r="AA39" s="29">
        <v>7.7556785487943758</v>
      </c>
      <c r="AB39" s="29">
        <v>2.2396941707410765</v>
      </c>
      <c r="AC39" s="52">
        <v>9.9953727195354531</v>
      </c>
      <c r="AD39" s="15"/>
      <c r="AE39" s="29">
        <v>0.77592689801714865</v>
      </c>
      <c r="AF39" s="29">
        <v>81.432451535804248</v>
      </c>
      <c r="AG39" s="29">
        <v>12.907336498320536</v>
      </c>
      <c r="AH39" s="29">
        <v>24.766443525886185</v>
      </c>
      <c r="AI39" s="17">
        <f t="shared" si="5"/>
        <v>0.34673020936240662</v>
      </c>
      <c r="AJ39" s="15"/>
      <c r="AK39" s="16">
        <f t="shared" si="7"/>
        <v>0.40564003717969604</v>
      </c>
      <c r="AL39" s="17"/>
      <c r="AM39" s="29">
        <v>6.309005079893903</v>
      </c>
      <c r="AO39" s="15">
        <f t="shared" si="8"/>
        <v>28.974288369978289</v>
      </c>
      <c r="AP39" s="21">
        <f t="shared" si="9"/>
        <v>0.40564003717969604</v>
      </c>
    </row>
    <row r="40" spans="1:42" s="40" customFormat="1">
      <c r="A40" s="50" t="s">
        <v>40</v>
      </c>
      <c r="B40" s="47" t="s">
        <v>45</v>
      </c>
      <c r="C40" s="50" t="s">
        <v>0</v>
      </c>
      <c r="D40" s="88">
        <v>38603</v>
      </c>
      <c r="E40" s="49"/>
      <c r="F40" s="51">
        <v>2</v>
      </c>
      <c r="G40" s="15">
        <v>1</v>
      </c>
      <c r="H40" s="15"/>
      <c r="I40" s="14"/>
      <c r="J40" s="52">
        <v>21.7</v>
      </c>
      <c r="K40" s="29">
        <v>4.3</v>
      </c>
      <c r="L40" s="52">
        <v>58.3</v>
      </c>
      <c r="M40" s="14">
        <f>SUM(K35:K40)/6</f>
        <v>3.9716666666666671</v>
      </c>
      <c r="O40" s="42"/>
      <c r="R40" s="52">
        <v>30.5</v>
      </c>
      <c r="S40" s="29">
        <v>1.0568281514904752</v>
      </c>
      <c r="T40" s="29">
        <v>4.0157571828402467</v>
      </c>
      <c r="U40" s="15">
        <f t="shared" si="6"/>
        <v>5.6220600559763453E-2</v>
      </c>
      <c r="V40" s="29">
        <v>0.65919226957383537</v>
      </c>
      <c r="W40" s="15">
        <f t="shared" si="3"/>
        <v>9.2286917740336954E-3</v>
      </c>
      <c r="X40" s="29">
        <v>4.674949452414082</v>
      </c>
      <c r="Y40" s="14">
        <f>SUM(X35:X40)/6</f>
        <v>5.9294901159937323</v>
      </c>
      <c r="Z40" s="29">
        <v>13.679584118590071</v>
      </c>
      <c r="AA40" s="29">
        <v>10.751558371040723</v>
      </c>
      <c r="AB40" s="29">
        <v>0.87654669726284784</v>
      </c>
      <c r="AC40" s="52">
        <v>11.62810506830357</v>
      </c>
      <c r="AD40" s="15">
        <f>SUM(AC35:AC40)/6</f>
        <v>8.3809063983230008</v>
      </c>
      <c r="AE40" s="29">
        <v>0.92461826822908755</v>
      </c>
      <c r="AF40" s="29">
        <v>113.39491321909674</v>
      </c>
      <c r="AG40" s="29">
        <v>17.756676245668984</v>
      </c>
      <c r="AH40" s="29">
        <v>31.436260364259056</v>
      </c>
      <c r="AI40" s="17">
        <f t="shared" si="5"/>
        <v>0.4401076450996268</v>
      </c>
      <c r="AJ40" s="15">
        <f>SUM(AI35:AI40)/6</f>
        <v>0.39038956945482961</v>
      </c>
      <c r="AK40" s="16">
        <f t="shared" si="7"/>
        <v>0.505556937433424</v>
      </c>
      <c r="AL40" s="17">
        <f>SUM(AK35:AK40)/6</f>
        <v>0.47340243107874191</v>
      </c>
      <c r="AM40" s="29">
        <v>6.3860438547306844</v>
      </c>
      <c r="AO40" s="15">
        <f t="shared" si="8"/>
        <v>36.111209816673139</v>
      </c>
      <c r="AP40" s="21">
        <f t="shared" si="9"/>
        <v>0.505556937433424</v>
      </c>
    </row>
    <row r="41" spans="1:42" s="40" customFormat="1">
      <c r="A41" s="40" t="s">
        <v>40</v>
      </c>
      <c r="B41" s="40" t="s">
        <v>45</v>
      </c>
      <c r="C41" s="50" t="s">
        <v>0</v>
      </c>
      <c r="D41" s="39">
        <v>38888</v>
      </c>
      <c r="E41" s="49">
        <v>0.34722222222222227</v>
      </c>
      <c r="F41" s="15">
        <v>2.2000000000000002</v>
      </c>
      <c r="G41" s="15">
        <v>1.5</v>
      </c>
      <c r="H41" s="15">
        <v>1.5</v>
      </c>
      <c r="I41" s="14"/>
      <c r="J41" s="14">
        <v>20.5</v>
      </c>
      <c r="K41" s="29">
        <v>5.74</v>
      </c>
      <c r="L41" s="52">
        <v>71.3</v>
      </c>
      <c r="M41" s="14"/>
      <c r="N41" s="40" t="s">
        <v>49</v>
      </c>
      <c r="O41" s="42" t="s">
        <v>69</v>
      </c>
      <c r="P41" s="40" t="s">
        <v>50</v>
      </c>
      <c r="Q41" s="40" t="s">
        <v>70</v>
      </c>
      <c r="R41" s="14">
        <v>29.7</v>
      </c>
      <c r="S41" s="29">
        <v>0.64004044489383216</v>
      </c>
      <c r="T41" s="15">
        <v>6.1932720654779958</v>
      </c>
      <c r="U41" s="15">
        <f t="shared" si="6"/>
        <v>8.670580891669194E-2</v>
      </c>
      <c r="V41" s="29">
        <v>0.64004044489383216</v>
      </c>
      <c r="W41" s="15">
        <f t="shared" si="3"/>
        <v>8.9605662285136504E-3</v>
      </c>
      <c r="X41" s="15">
        <v>6.1932720654779958</v>
      </c>
      <c r="Y41" s="15"/>
      <c r="Z41" s="15">
        <v>71.115935951645966</v>
      </c>
      <c r="AA41" s="15">
        <v>3.6236645783132526</v>
      </c>
      <c r="AB41" s="15">
        <v>3.3810710279367462</v>
      </c>
      <c r="AC41" s="14">
        <v>7.0047356062499988</v>
      </c>
      <c r="AD41" s="15"/>
      <c r="AE41" s="15">
        <v>0.51731639593648981</v>
      </c>
      <c r="AF41" s="15">
        <v>92.817184327192507</v>
      </c>
      <c r="AG41" s="15">
        <v>11.326769897714467</v>
      </c>
      <c r="AH41" s="15">
        <v>82.442705849360436</v>
      </c>
      <c r="AI41" s="17">
        <f t="shared" si="5"/>
        <v>1.1541978818910461</v>
      </c>
      <c r="AJ41" s="15"/>
      <c r="AK41" s="16">
        <f t="shared" si="7"/>
        <v>1.2409036908077382</v>
      </c>
      <c r="AL41" s="17"/>
      <c r="AM41" s="15">
        <v>8.1944972101818099</v>
      </c>
      <c r="AO41" s="15">
        <f t="shared" si="8"/>
        <v>88.635977914838435</v>
      </c>
      <c r="AP41" s="21">
        <f t="shared" si="9"/>
        <v>1.2409036908077382</v>
      </c>
    </row>
    <row r="42" spans="1:42" s="40" customFormat="1">
      <c r="A42" s="40" t="s">
        <v>40</v>
      </c>
      <c r="B42" s="40" t="s">
        <v>45</v>
      </c>
      <c r="C42" s="50" t="s">
        <v>0</v>
      </c>
      <c r="D42" s="39">
        <v>38903</v>
      </c>
      <c r="E42" s="49">
        <v>0.35416666666666669</v>
      </c>
      <c r="F42" s="15">
        <v>2.2000000000000002</v>
      </c>
      <c r="G42" s="15">
        <v>1.1000000000000001</v>
      </c>
      <c r="H42" s="15"/>
      <c r="I42" s="14"/>
      <c r="J42" s="14">
        <v>23.3</v>
      </c>
      <c r="K42" s="29">
        <f>(4.85+4.9)/2</f>
        <v>4.875</v>
      </c>
      <c r="L42" s="52">
        <f>(65.4+66)/2</f>
        <v>65.7</v>
      </c>
      <c r="M42" s="14"/>
      <c r="N42" s="40" t="s">
        <v>49</v>
      </c>
      <c r="O42" s="42" t="s">
        <v>54</v>
      </c>
      <c r="P42" s="40" t="s">
        <v>50</v>
      </c>
      <c r="R42" s="14">
        <v>28.1</v>
      </c>
      <c r="S42" s="29">
        <v>3.083923154701719</v>
      </c>
      <c r="T42" s="15">
        <v>11.795408792175783</v>
      </c>
      <c r="U42" s="15">
        <f t="shared" si="6"/>
        <v>0.16513572309046096</v>
      </c>
      <c r="V42" s="29">
        <v>3.083923154701719</v>
      </c>
      <c r="W42" s="15">
        <f t="shared" si="3"/>
        <v>4.3174924165824066E-2</v>
      </c>
      <c r="X42" s="15">
        <v>11.795408792175783</v>
      </c>
      <c r="Y42" s="15"/>
      <c r="Z42" s="15">
        <v>105.15789980092995</v>
      </c>
      <c r="AA42" s="15">
        <v>4.3144777848101263</v>
      </c>
      <c r="AB42" s="15">
        <v>7.4404317980023738</v>
      </c>
      <c r="AC42" s="14">
        <v>11.7549095828125</v>
      </c>
      <c r="AD42" s="15"/>
      <c r="AE42" s="15">
        <v>0.36703623744742042</v>
      </c>
      <c r="AF42" s="15">
        <v>77.394671056657046</v>
      </c>
      <c r="AG42" s="15">
        <v>10.980976849899752</v>
      </c>
      <c r="AH42" s="15">
        <v>116.1388766508297</v>
      </c>
      <c r="AI42" s="17">
        <f t="shared" si="5"/>
        <v>1.6259442731116158</v>
      </c>
      <c r="AJ42" s="15"/>
      <c r="AK42" s="16">
        <f t="shared" si="7"/>
        <v>1.7910799962020767</v>
      </c>
      <c r="AL42" s="17"/>
      <c r="AM42" s="15">
        <v>7.0480679555720585</v>
      </c>
      <c r="AO42" s="15">
        <f t="shared" si="8"/>
        <v>127.93428544300548</v>
      </c>
      <c r="AP42" s="21">
        <f t="shared" si="9"/>
        <v>1.7910799962020767</v>
      </c>
    </row>
    <row r="43" spans="1:42" s="40" customFormat="1">
      <c r="A43" s="40" t="s">
        <v>40</v>
      </c>
      <c r="B43" s="40" t="s">
        <v>45</v>
      </c>
      <c r="C43" s="50" t="s">
        <v>0</v>
      </c>
      <c r="D43" s="39">
        <v>38917</v>
      </c>
      <c r="E43" s="20">
        <v>0.36458333333333331</v>
      </c>
      <c r="F43" s="15">
        <v>2.21</v>
      </c>
      <c r="G43" s="21">
        <f>(1+0.85)/2</f>
        <v>0.92500000000000004</v>
      </c>
      <c r="H43" s="15"/>
      <c r="I43" s="14"/>
      <c r="J43" s="14">
        <v>25.2</v>
      </c>
      <c r="K43" s="22">
        <f>(4.59+4.65)/2</f>
        <v>4.62</v>
      </c>
      <c r="L43" s="22">
        <f>(64.9+65.2)/2</f>
        <v>65.050000000000011</v>
      </c>
      <c r="M43" s="22"/>
      <c r="N43" s="21" t="s">
        <v>46</v>
      </c>
      <c r="O43" s="23">
        <v>2</v>
      </c>
      <c r="P43" s="21" t="s">
        <v>43</v>
      </c>
      <c r="Q43" s="21" t="s">
        <v>42</v>
      </c>
      <c r="R43" s="14" t="s">
        <v>71</v>
      </c>
      <c r="S43" s="29">
        <v>1.6885743174924166</v>
      </c>
      <c r="T43" s="15">
        <v>11.179831548312928</v>
      </c>
      <c r="U43" s="15">
        <f t="shared" si="6"/>
        <v>0.15651764167638099</v>
      </c>
      <c r="V43" s="29">
        <v>1.6885743174924166</v>
      </c>
      <c r="W43" s="15">
        <f t="shared" si="3"/>
        <v>2.3640040444893831E-2</v>
      </c>
      <c r="X43" s="15">
        <v>11.179831548312928</v>
      </c>
      <c r="Y43" s="15"/>
      <c r="Z43" s="15">
        <v>57.66469462409416</v>
      </c>
      <c r="AA43" s="15">
        <v>5.9239936708860768</v>
      </c>
      <c r="AB43" s="15">
        <v>3.0147908603639242</v>
      </c>
      <c r="AC43" s="14">
        <v>8.9387845312500005</v>
      </c>
      <c r="AD43" s="15"/>
      <c r="AE43" s="15">
        <v>0.6627292167269262</v>
      </c>
      <c r="AF43" s="15">
        <v>79.200465238090416</v>
      </c>
      <c r="AG43" s="15">
        <v>11.706049568058798</v>
      </c>
      <c r="AH43" s="15">
        <v>69.370744192152955</v>
      </c>
      <c r="AI43" s="17">
        <f t="shared" si="5"/>
        <v>0.97119041869014144</v>
      </c>
      <c r="AJ43" s="15"/>
      <c r="AK43" s="16">
        <f t="shared" si="7"/>
        <v>1.1277080603665224</v>
      </c>
      <c r="AL43" s="17"/>
      <c r="AM43" s="15">
        <v>6.7657722426015789</v>
      </c>
      <c r="AO43" s="15">
        <f t="shared" si="8"/>
        <v>80.550575740465888</v>
      </c>
      <c r="AP43" s="21">
        <f t="shared" si="9"/>
        <v>1.1277080603665224</v>
      </c>
    </row>
    <row r="44" spans="1:42" s="40" customFormat="1">
      <c r="A44" s="40" t="s">
        <v>40</v>
      </c>
      <c r="B44" s="40" t="s">
        <v>45</v>
      </c>
      <c r="C44" s="50" t="s">
        <v>0</v>
      </c>
      <c r="D44" s="39">
        <v>38931</v>
      </c>
      <c r="E44" s="49">
        <v>0.3611111111111111</v>
      </c>
      <c r="F44" s="15">
        <v>2.1</v>
      </c>
      <c r="G44" s="15">
        <v>1.1000000000000001</v>
      </c>
      <c r="H44" s="15"/>
      <c r="I44" s="14"/>
      <c r="J44" s="14">
        <v>26.2</v>
      </c>
      <c r="K44" s="29">
        <f>(5.01+5.07)/2</f>
        <v>5.04</v>
      </c>
      <c r="L44" s="52">
        <f>(72.1+72.5)/2</f>
        <v>72.3</v>
      </c>
      <c r="M44" s="14"/>
      <c r="N44" s="40" t="s">
        <v>46</v>
      </c>
      <c r="O44" s="42" t="s">
        <v>62</v>
      </c>
      <c r="P44" s="40" t="s">
        <v>50</v>
      </c>
      <c r="Q44" s="40" t="s">
        <v>42</v>
      </c>
      <c r="R44" s="14">
        <v>29.5</v>
      </c>
      <c r="S44" s="29">
        <v>1.3842574641333851</v>
      </c>
      <c r="T44" s="15">
        <v>5.7105261029020253</v>
      </c>
      <c r="U44" s="15">
        <f t="shared" si="6"/>
        <v>7.994736544062836E-2</v>
      </c>
      <c r="V44" s="29">
        <v>1.3842574641333851</v>
      </c>
      <c r="W44" s="15">
        <f t="shared" si="3"/>
        <v>1.9379604497867391E-2</v>
      </c>
      <c r="X44" s="15">
        <v>5.7105261029020253</v>
      </c>
      <c r="Y44" s="15"/>
      <c r="Z44" s="15">
        <v>74.141092132092226</v>
      </c>
      <c r="AA44" s="15">
        <v>5.0240088607594933</v>
      </c>
      <c r="AB44" s="15">
        <v>9.6310318720530042</v>
      </c>
      <c r="AC44" s="14">
        <v>14.655040732812498</v>
      </c>
      <c r="AD44" s="15"/>
      <c r="AE44" s="15">
        <v>0.34281780258111361</v>
      </c>
      <c r="AF44" s="15">
        <v>106.86819126994237</v>
      </c>
      <c r="AG44" s="15">
        <v>15.026962843744986</v>
      </c>
      <c r="AH44" s="15">
        <v>89.168054975837208</v>
      </c>
      <c r="AI44" s="17">
        <f t="shared" si="5"/>
        <v>1.2483527696617209</v>
      </c>
      <c r="AJ44" s="15"/>
      <c r="AK44" s="16">
        <f t="shared" si="7"/>
        <v>1.3283001351023493</v>
      </c>
      <c r="AL44" s="17"/>
      <c r="AM44" s="15">
        <v>7.1117625285422559</v>
      </c>
      <c r="AO44" s="15">
        <f t="shared" si="8"/>
        <v>94.878581078739231</v>
      </c>
      <c r="AP44" s="21">
        <f t="shared" si="9"/>
        <v>1.3283001351023493</v>
      </c>
    </row>
    <row r="45" spans="1:42" s="40" customFormat="1">
      <c r="A45" s="40" t="s">
        <v>40</v>
      </c>
      <c r="B45" s="40" t="s">
        <v>45</v>
      </c>
      <c r="C45" s="50" t="s">
        <v>0</v>
      </c>
      <c r="D45" s="39">
        <v>38945</v>
      </c>
      <c r="E45" s="49">
        <v>0.3298611111111111</v>
      </c>
      <c r="F45" s="15">
        <v>3</v>
      </c>
      <c r="G45" s="15">
        <v>1.4</v>
      </c>
      <c r="H45" s="15"/>
      <c r="I45" s="14"/>
      <c r="J45" s="14">
        <v>22.3</v>
      </c>
      <c r="K45" s="29">
        <v>4.1749999999999998</v>
      </c>
      <c r="L45" s="52">
        <f>(56.1+57.1)/2</f>
        <v>56.6</v>
      </c>
      <c r="M45" s="14"/>
      <c r="N45" s="40" t="s">
        <v>42</v>
      </c>
      <c r="O45" s="42" t="s">
        <v>72</v>
      </c>
      <c r="Q45" s="40" t="s">
        <v>70</v>
      </c>
      <c r="R45" s="14">
        <v>29.5</v>
      </c>
      <c r="S45" s="29">
        <v>2.2143579373104147</v>
      </c>
      <c r="T45" s="15">
        <v>13.128886739509827</v>
      </c>
      <c r="U45" s="15">
        <f t="shared" si="6"/>
        <v>0.18380441435313757</v>
      </c>
      <c r="V45" s="29">
        <v>2.2143579373104147</v>
      </c>
      <c r="W45" s="15">
        <f t="shared" si="3"/>
        <v>3.1001011122345806E-2</v>
      </c>
      <c r="X45" s="15">
        <v>13.128886739509827</v>
      </c>
      <c r="Y45" s="15"/>
      <c r="Z45" s="15">
        <v>54.541888454288639</v>
      </c>
      <c r="AA45" s="15">
        <v>2.2601582278481018</v>
      </c>
      <c r="AB45" s="15">
        <v>3.3205863034019005</v>
      </c>
      <c r="AC45" s="14">
        <v>5.5807445312500024</v>
      </c>
      <c r="AD45" s="15"/>
      <c r="AE45" s="15">
        <v>0.40499223986908794</v>
      </c>
      <c r="AF45" s="15">
        <v>54.778818391424693</v>
      </c>
      <c r="AG45" s="15">
        <v>8.2802064761752874</v>
      </c>
      <c r="AH45" s="15">
        <v>62.822094930463926</v>
      </c>
      <c r="AI45" s="17">
        <f t="shared" si="5"/>
        <v>0.87950932902649503</v>
      </c>
      <c r="AJ45" s="15"/>
      <c r="AK45" s="16">
        <f t="shared" si="7"/>
        <v>1.0633137433796325</v>
      </c>
      <c r="AL45" s="17"/>
      <c r="AM45" s="15">
        <v>6.6156343503076016</v>
      </c>
      <c r="AO45" s="15">
        <f t="shared" si="8"/>
        <v>75.950981669973757</v>
      </c>
      <c r="AP45" s="21">
        <f t="shared" si="9"/>
        <v>1.0633137433796327</v>
      </c>
    </row>
    <row r="46" spans="1:42" s="40" customFormat="1">
      <c r="A46" s="40" t="s">
        <v>40</v>
      </c>
      <c r="B46" s="40" t="s">
        <v>45</v>
      </c>
      <c r="C46" s="50" t="s">
        <v>0</v>
      </c>
      <c r="D46" s="39">
        <v>38973</v>
      </c>
      <c r="E46" s="49">
        <v>0.35069444444444442</v>
      </c>
      <c r="F46" s="15">
        <v>2.4300000000000002</v>
      </c>
      <c r="G46" s="15">
        <v>2</v>
      </c>
      <c r="H46" s="14">
        <f>SUM(G41:G46)/6</f>
        <v>1.3375000000000001</v>
      </c>
      <c r="I46" s="14"/>
      <c r="J46" s="14">
        <v>17.7</v>
      </c>
      <c r="K46" s="29">
        <v>6.94</v>
      </c>
      <c r="L46" s="52">
        <v>87.2</v>
      </c>
      <c r="M46" s="14">
        <f>SUM(K41:K46)/6</f>
        <v>5.2316666666666665</v>
      </c>
      <c r="N46" s="40" t="s">
        <v>46</v>
      </c>
      <c r="O46" s="42">
        <v>0</v>
      </c>
      <c r="Q46" s="40" t="s">
        <v>63</v>
      </c>
      <c r="R46" s="14">
        <v>31.6</v>
      </c>
      <c r="S46" s="29">
        <v>0.77148634984833164</v>
      </c>
      <c r="T46" s="15">
        <v>9.7242236228081698</v>
      </c>
      <c r="U46" s="15">
        <f t="shared" si="6"/>
        <v>0.13613913071931438</v>
      </c>
      <c r="V46" s="29">
        <v>0.77148634984833164</v>
      </c>
      <c r="W46" s="15">
        <f t="shared" si="3"/>
        <v>1.0800808897876643E-2</v>
      </c>
      <c r="X46" s="15">
        <v>9.7242236228081698</v>
      </c>
      <c r="Y46" s="15">
        <f>SUM(X41:X46)/6</f>
        <v>9.6220248118644545</v>
      </c>
      <c r="Z46" s="15">
        <v>60.579730453860449</v>
      </c>
      <c r="AA46" s="15">
        <v>4.9948477215189859</v>
      </c>
      <c r="AB46" s="15">
        <v>1.4497674045226816</v>
      </c>
      <c r="AC46" s="14">
        <v>6.4446151260416675</v>
      </c>
      <c r="AD46" s="15">
        <f>SUM(AC41:AC46)/6</f>
        <v>9.0631383517361126</v>
      </c>
      <c r="AE46" s="15">
        <v>0.77504205042991603</v>
      </c>
      <c r="AF46" s="27">
        <v>0</v>
      </c>
      <c r="AG46" s="27">
        <v>0</v>
      </c>
      <c r="AH46" s="27">
        <v>0</v>
      </c>
      <c r="AI46" s="17">
        <f t="shared" si="5"/>
        <v>0</v>
      </c>
      <c r="AJ46" s="15">
        <f>SUM(AI41:AI46)/6</f>
        <v>0.97986577873016978</v>
      </c>
      <c r="AK46" s="16">
        <f t="shared" si="7"/>
        <v>0.98425535707336065</v>
      </c>
      <c r="AL46" s="17">
        <f>SUM(AK41:AK46)/6</f>
        <v>1.2559268304886133</v>
      </c>
      <c r="AM46" s="27" t="s">
        <v>73</v>
      </c>
      <c r="AO46" s="15">
        <f t="shared" si="8"/>
        <v>9.7242236228081698</v>
      </c>
      <c r="AP46" s="21">
        <f t="shared" si="9"/>
        <v>0.13613913071931438</v>
      </c>
    </row>
    <row r="47" spans="1:42" s="40" customFormat="1">
      <c r="A47" s="40" t="s">
        <v>40</v>
      </c>
      <c r="B47" s="40" t="s">
        <v>45</v>
      </c>
      <c r="C47" s="50" t="s">
        <v>0</v>
      </c>
      <c r="D47" s="39">
        <v>39254</v>
      </c>
      <c r="E47" s="49"/>
      <c r="F47" s="15">
        <v>2.2999999999999998</v>
      </c>
      <c r="G47" s="15">
        <v>2.2999999999999998</v>
      </c>
      <c r="H47" s="14"/>
      <c r="I47" s="14">
        <v>0.5</v>
      </c>
      <c r="J47" s="14">
        <v>20.3</v>
      </c>
      <c r="K47" s="29">
        <f>(4.84+4.85)/2</f>
        <v>4.8449999999999998</v>
      </c>
      <c r="L47" s="52"/>
      <c r="M47" s="14"/>
      <c r="N47" s="40" t="s">
        <v>42</v>
      </c>
      <c r="O47" s="42">
        <v>3.5</v>
      </c>
      <c r="P47" s="40" t="s">
        <v>74</v>
      </c>
      <c r="R47" s="14">
        <v>30.3</v>
      </c>
      <c r="S47" s="14">
        <v>1.0765654462374921</v>
      </c>
      <c r="T47" s="52">
        <v>6.1662647218153737</v>
      </c>
      <c r="U47" s="15">
        <f t="shared" si="6"/>
        <v>8.6327706105415236E-2</v>
      </c>
      <c r="V47" s="29">
        <v>0.82335999999999998</v>
      </c>
      <c r="W47" s="15">
        <f t="shared" si="3"/>
        <v>1.1527040000000001E-2</v>
      </c>
      <c r="X47" s="29">
        <v>6.9896247218153738</v>
      </c>
      <c r="Y47" s="15"/>
      <c r="Z47" s="29">
        <v>67.09713849533324</v>
      </c>
      <c r="AA47" s="15">
        <v>3.8482734177215185</v>
      </c>
      <c r="AB47" s="15">
        <v>1.3527744489451483</v>
      </c>
      <c r="AC47" s="14">
        <f t="shared" ref="AC47:AC52" si="10">AA47+AB47</f>
        <v>5.2010478666666664</v>
      </c>
      <c r="AD47" s="15"/>
      <c r="AE47" s="15"/>
      <c r="AF47" s="15">
        <v>46.950955243738392</v>
      </c>
      <c r="AG47" s="15">
        <v>7.192130332136446</v>
      </c>
      <c r="AH47" s="15">
        <v>74.289268827469684</v>
      </c>
      <c r="AI47" s="17">
        <f t="shared" si="5"/>
        <v>1.0400497635845756</v>
      </c>
      <c r="AJ47" s="15"/>
      <c r="AK47" s="16">
        <f t="shared" si="7"/>
        <v>1.1379045096899909</v>
      </c>
      <c r="AL47" s="17"/>
      <c r="AM47" s="15">
        <v>6.5281012823069151</v>
      </c>
      <c r="AO47" s="15">
        <v>81.278893549285058</v>
      </c>
      <c r="AP47" s="21">
        <f t="shared" si="9"/>
        <v>1.1379045096899909</v>
      </c>
    </row>
    <row r="48" spans="1:42" s="54" customFormat="1">
      <c r="A48" s="54" t="s">
        <v>40</v>
      </c>
      <c r="B48" s="54" t="s">
        <v>45</v>
      </c>
      <c r="C48" s="55" t="s">
        <v>0</v>
      </c>
      <c r="D48" s="56">
        <v>39268</v>
      </c>
      <c r="E48" s="56"/>
      <c r="F48" s="21">
        <v>3.2</v>
      </c>
      <c r="G48" s="21">
        <v>3.2</v>
      </c>
      <c r="H48" s="26"/>
      <c r="I48" s="27"/>
      <c r="J48" s="27">
        <v>21.6</v>
      </c>
      <c r="K48" s="27"/>
      <c r="L48" s="57">
        <v>69</v>
      </c>
      <c r="M48" s="58"/>
      <c r="N48" s="21" t="s">
        <v>49</v>
      </c>
      <c r="O48" s="28">
        <v>6</v>
      </c>
      <c r="P48" s="27"/>
      <c r="Q48" s="21" t="s">
        <v>70</v>
      </c>
      <c r="R48" s="22">
        <v>29</v>
      </c>
      <c r="S48" s="22">
        <v>0.66274094063222821</v>
      </c>
      <c r="T48" s="26">
        <v>20.093839604034578</v>
      </c>
      <c r="U48" s="15">
        <f t="shared" si="6"/>
        <v>0.2813137544564841</v>
      </c>
      <c r="V48" s="27">
        <v>1.3604000000000001</v>
      </c>
      <c r="W48" s="15">
        <f t="shared" si="3"/>
        <v>1.9045600000000003E-2</v>
      </c>
      <c r="X48" s="27">
        <v>21.454239604034576</v>
      </c>
      <c r="Y48" s="21"/>
      <c r="Z48" s="27">
        <v>89.482964778422485</v>
      </c>
      <c r="AA48" s="21">
        <v>4.2590217721519004</v>
      </c>
      <c r="AB48" s="21">
        <v>6.3449620945147664</v>
      </c>
      <c r="AC48" s="14">
        <f t="shared" si="10"/>
        <v>10.603983866666667</v>
      </c>
      <c r="AD48" s="21"/>
      <c r="AE48" s="21"/>
      <c r="AF48" s="21">
        <v>80.459758452158596</v>
      </c>
      <c r="AG48" s="21">
        <v>10.367711328722578</v>
      </c>
      <c r="AH48" s="21">
        <v>99.850676107145063</v>
      </c>
      <c r="AI48" s="17">
        <f t="shared" si="5"/>
        <v>1.3979094655000308</v>
      </c>
      <c r="AJ48" s="21"/>
      <c r="AK48" s="16">
        <f t="shared" si="7"/>
        <v>1.6982688199565148</v>
      </c>
      <c r="AL48" s="16"/>
      <c r="AM48" s="21">
        <v>7.7606094441744231</v>
      </c>
      <c r="AO48" s="21">
        <v>121.30491571117963</v>
      </c>
      <c r="AP48" s="21">
        <f t="shared" si="9"/>
        <v>1.6982688199565148</v>
      </c>
    </row>
    <row r="49" spans="1:42" s="54" customFormat="1">
      <c r="A49" s="54" t="s">
        <v>40</v>
      </c>
      <c r="B49" s="54" t="s">
        <v>45</v>
      </c>
      <c r="C49" s="55" t="s">
        <v>0</v>
      </c>
      <c r="D49" s="56">
        <v>39282</v>
      </c>
      <c r="E49" s="20">
        <v>0.33333333333333331</v>
      </c>
      <c r="F49" s="21" t="s">
        <v>75</v>
      </c>
      <c r="G49" s="21" t="s">
        <v>82</v>
      </c>
      <c r="H49" s="26"/>
      <c r="I49" s="27"/>
      <c r="J49" s="27">
        <v>24</v>
      </c>
      <c r="K49" s="27"/>
      <c r="L49" s="21" t="s">
        <v>83</v>
      </c>
      <c r="M49" s="22"/>
      <c r="N49" s="21" t="s">
        <v>46</v>
      </c>
      <c r="O49" s="28">
        <v>2</v>
      </c>
      <c r="P49" s="27"/>
      <c r="Q49" s="21" t="s">
        <v>63</v>
      </c>
      <c r="R49" s="22">
        <v>29.4</v>
      </c>
      <c r="S49" s="22">
        <v>1.9497704315886129</v>
      </c>
      <c r="T49" s="26">
        <v>10.00032865334164</v>
      </c>
      <c r="U49" s="15">
        <f t="shared" si="6"/>
        <v>0.14000460114678295</v>
      </c>
      <c r="V49" s="27">
        <v>1.4988431747309123</v>
      </c>
      <c r="W49" s="15">
        <f t="shared" si="3"/>
        <v>2.0983804446232775E-2</v>
      </c>
      <c r="X49" s="27">
        <v>11.499171828072551</v>
      </c>
      <c r="Y49" s="21"/>
      <c r="Z49" s="27">
        <v>33.902407543402063</v>
      </c>
      <c r="AA49" s="21">
        <v>3.158375696202532</v>
      </c>
      <c r="AB49" s="21">
        <v>6.2106513704641335</v>
      </c>
      <c r="AC49" s="14">
        <f t="shared" si="10"/>
        <v>9.369027066666666</v>
      </c>
      <c r="AD49" s="21"/>
      <c r="AE49" s="21"/>
      <c r="AF49" s="21">
        <v>60.394571932346885</v>
      </c>
      <c r="AG49" s="21">
        <v>7.9295199728933854</v>
      </c>
      <c r="AH49" s="21">
        <v>41.831927516295451</v>
      </c>
      <c r="AI49" s="17">
        <f t="shared" si="5"/>
        <v>0.5856469852281363</v>
      </c>
      <c r="AJ49" s="21"/>
      <c r="AK49" s="16">
        <f t="shared" si="7"/>
        <v>0.74663539082115205</v>
      </c>
      <c r="AL49" s="16"/>
      <c r="AM49" s="21">
        <v>7.6164221969050212</v>
      </c>
      <c r="AO49" s="21">
        <v>53.331099344368006</v>
      </c>
      <c r="AP49" s="21">
        <f t="shared" si="9"/>
        <v>0.74663539082115216</v>
      </c>
    </row>
    <row r="50" spans="1:42" s="40" customFormat="1">
      <c r="A50" s="40" t="s">
        <v>40</v>
      </c>
      <c r="B50" s="40" t="s">
        <v>45</v>
      </c>
      <c r="C50" s="50" t="s">
        <v>0</v>
      </c>
      <c r="D50" s="39">
        <v>39301</v>
      </c>
      <c r="E50" s="49">
        <v>0.33333333333333331</v>
      </c>
      <c r="F50" s="15">
        <v>5</v>
      </c>
      <c r="G50" s="15">
        <v>4.2</v>
      </c>
      <c r="H50" s="15"/>
      <c r="I50" s="14"/>
      <c r="J50" s="14">
        <v>24.2</v>
      </c>
      <c r="K50" s="15">
        <f>(4.3+4.8)/2</f>
        <v>4.55</v>
      </c>
      <c r="L50" s="14"/>
      <c r="M50" s="14"/>
      <c r="N50" s="40" t="s">
        <v>49</v>
      </c>
      <c r="O50" s="42">
        <v>1</v>
      </c>
      <c r="P50" s="40" t="s">
        <v>74</v>
      </c>
      <c r="Q50" s="40" t="s">
        <v>63</v>
      </c>
      <c r="R50" s="14">
        <v>30.2</v>
      </c>
      <c r="S50" s="14">
        <v>2.2580104355541337</v>
      </c>
      <c r="T50" s="52">
        <v>15.90156546873132</v>
      </c>
      <c r="U50" s="15">
        <f t="shared" si="6"/>
        <v>0.22262191656223848</v>
      </c>
      <c r="V50" s="29">
        <v>2.9976863494618247</v>
      </c>
      <c r="W50" s="15">
        <f t="shared" si="3"/>
        <v>4.1967608892465549E-2</v>
      </c>
      <c r="X50" s="29">
        <v>18.899251818193143</v>
      </c>
      <c r="Y50" s="15"/>
      <c r="Z50" s="29">
        <v>205.11573418894483</v>
      </c>
      <c r="AA50" s="15">
        <v>3.2841175316455695</v>
      </c>
      <c r="AB50" s="15">
        <v>1.8847382105419301</v>
      </c>
      <c r="AC50" s="14">
        <f t="shared" si="10"/>
        <v>5.1688557421874997</v>
      </c>
      <c r="AD50" s="15"/>
      <c r="AE50" s="15"/>
      <c r="AF50" s="15">
        <v>68.338716306805395</v>
      </c>
      <c r="AG50" s="15">
        <v>9.4322395672428669</v>
      </c>
      <c r="AH50" s="15">
        <v>214.5479737561877</v>
      </c>
      <c r="AI50" s="17">
        <f t="shared" si="5"/>
        <v>3.0036716325866277</v>
      </c>
      <c r="AJ50" s="15"/>
      <c r="AK50" s="16">
        <f t="shared" si="7"/>
        <v>3.2682611580413319</v>
      </c>
      <c r="AL50" s="17"/>
      <c r="AM50" s="15">
        <v>7.2452269495081802</v>
      </c>
      <c r="AO50" s="15">
        <v>233.44722557438084</v>
      </c>
      <c r="AP50" s="21">
        <f t="shared" si="9"/>
        <v>3.2682611580413319</v>
      </c>
    </row>
    <row r="51" spans="1:42" s="40" customFormat="1">
      <c r="A51" s="40" t="s">
        <v>40</v>
      </c>
      <c r="B51" s="40" t="s">
        <v>45</v>
      </c>
      <c r="C51" s="50" t="s">
        <v>0</v>
      </c>
      <c r="D51" s="39">
        <v>39315</v>
      </c>
      <c r="F51" s="15">
        <v>2.15</v>
      </c>
      <c r="G51" s="15">
        <v>1.7</v>
      </c>
      <c r="H51" s="15"/>
      <c r="I51" s="14"/>
      <c r="J51" s="14">
        <v>21.4</v>
      </c>
      <c r="K51" s="15">
        <v>5.54</v>
      </c>
      <c r="L51" s="14"/>
      <c r="M51" s="14"/>
      <c r="N51" s="40" t="s">
        <v>42</v>
      </c>
      <c r="O51" s="42">
        <v>2</v>
      </c>
      <c r="P51" s="40" t="s">
        <v>59</v>
      </c>
      <c r="Q51" s="40" t="s">
        <v>70</v>
      </c>
      <c r="R51" s="14">
        <v>30.8</v>
      </c>
      <c r="S51" s="14">
        <v>1.3791021993047048</v>
      </c>
      <c r="T51" s="52">
        <v>5.9354513591166853</v>
      </c>
      <c r="U51" s="15">
        <f t="shared" si="6"/>
        <v>8.3096319027633592E-2</v>
      </c>
      <c r="V51" s="29">
        <v>0.13680716225731818</v>
      </c>
      <c r="W51" s="15">
        <f t="shared" si="3"/>
        <v>1.9153002716024545E-3</v>
      </c>
      <c r="X51" s="29">
        <v>6.0722585213740032</v>
      </c>
      <c r="Y51" s="15"/>
      <c r="Z51" s="29">
        <v>59.503493473823546</v>
      </c>
      <c r="AA51" s="15">
        <v>4.1459912025316452</v>
      </c>
      <c r="AB51" s="15">
        <v>1.5035958896558537</v>
      </c>
      <c r="AC51" s="14">
        <f t="shared" si="10"/>
        <v>5.6495870921874989</v>
      </c>
      <c r="AD51" s="15"/>
      <c r="AE51" s="15"/>
      <c r="AF51" s="15">
        <v>76.504112288442414</v>
      </c>
      <c r="AG51" s="15">
        <v>9.7802234905009406</v>
      </c>
      <c r="AH51" s="15">
        <v>69.283716964324483</v>
      </c>
      <c r="AI51" s="17">
        <f t="shared" si="5"/>
        <v>0.96997203750054284</v>
      </c>
      <c r="AJ51" s="15"/>
      <c r="AK51" s="16">
        <f t="shared" si="7"/>
        <v>1.054983656799779</v>
      </c>
      <c r="AL51" s="17"/>
      <c r="AM51" s="15">
        <v>7.8223276147776346</v>
      </c>
      <c r="AO51" s="15">
        <v>75.355975485698494</v>
      </c>
      <c r="AP51" s="21">
        <f t="shared" si="9"/>
        <v>1.054983656799779</v>
      </c>
    </row>
    <row r="52" spans="1:42" s="40" customFormat="1">
      <c r="A52" s="40" t="s">
        <v>40</v>
      </c>
      <c r="B52" s="40" t="s">
        <v>45</v>
      </c>
      <c r="C52" s="50" t="s">
        <v>0</v>
      </c>
      <c r="D52" s="39">
        <v>39343</v>
      </c>
      <c r="F52" s="15">
        <v>2.1</v>
      </c>
      <c r="G52" s="15">
        <v>1.9</v>
      </c>
      <c r="H52" s="14">
        <f>SUM(G47:G52)/6</f>
        <v>2.2166666666666663</v>
      </c>
      <c r="I52" s="14"/>
      <c r="J52" s="14">
        <v>15</v>
      </c>
      <c r="K52" s="15">
        <f>(7.76+7.89)/2</f>
        <v>7.8249999999999993</v>
      </c>
      <c r="L52" s="14"/>
      <c r="M52" s="14"/>
      <c r="N52" s="40" t="s">
        <v>42</v>
      </c>
      <c r="O52" s="42">
        <v>1</v>
      </c>
      <c r="P52" s="40" t="s">
        <v>59</v>
      </c>
      <c r="Q52" s="40" t="s">
        <v>42</v>
      </c>
      <c r="R52" s="14">
        <v>28.7</v>
      </c>
      <c r="S52" s="14">
        <v>1.3208290573229733</v>
      </c>
      <c r="T52" s="52">
        <v>3.5597036862837319</v>
      </c>
      <c r="U52" s="15">
        <f t="shared" si="6"/>
        <v>4.9835851607972249E-2</v>
      </c>
      <c r="V52" s="29">
        <v>0.99989940649834019</v>
      </c>
      <c r="W52" s="15">
        <f t="shared" si="3"/>
        <v>1.3998591690976763E-2</v>
      </c>
      <c r="X52" s="29">
        <v>4.5596030927820719</v>
      </c>
      <c r="Y52" s="15"/>
      <c r="Z52" s="29">
        <v>29.661476681593431</v>
      </c>
      <c r="AA52" s="15">
        <v>4.1909791139240511</v>
      </c>
      <c r="AB52" s="15">
        <v>1.9299865782634487</v>
      </c>
      <c r="AC52" s="14">
        <f t="shared" si="10"/>
        <v>6.1209656921875002</v>
      </c>
      <c r="AD52" s="15"/>
      <c r="AE52" s="15"/>
      <c r="AF52" s="15">
        <v>58.079887674199853</v>
      </c>
      <c r="AG52" s="15">
        <v>9.2493773452586971</v>
      </c>
      <c r="AH52" s="15">
        <v>38.910854026852128</v>
      </c>
      <c r="AI52" s="17">
        <f t="shared" si="5"/>
        <v>0.54475195637592977</v>
      </c>
      <c r="AJ52" s="15"/>
      <c r="AK52" s="16">
        <f t="shared" si="7"/>
        <v>0.60858639967487882</v>
      </c>
      <c r="AL52" s="17"/>
      <c r="AM52" s="15">
        <v>6.2793294625364222</v>
      </c>
      <c r="AO52" s="15">
        <v>43.470457119634204</v>
      </c>
      <c r="AP52" s="21">
        <f t="shared" si="9"/>
        <v>0.60858639967487882</v>
      </c>
    </row>
    <row r="53" spans="1:42" s="40" customFormat="1">
      <c r="A53" s="40" t="s">
        <v>40</v>
      </c>
      <c r="B53" s="40" t="s">
        <v>45</v>
      </c>
      <c r="C53" s="50" t="s">
        <v>0</v>
      </c>
      <c r="D53" s="39">
        <v>39638</v>
      </c>
      <c r="F53" s="29">
        <v>1.2</v>
      </c>
      <c r="G53" s="29">
        <v>1.2</v>
      </c>
      <c r="H53" s="15"/>
      <c r="I53" s="40">
        <v>0.6</v>
      </c>
      <c r="J53" s="52">
        <v>25.4</v>
      </c>
      <c r="K53" s="29" t="s">
        <v>73</v>
      </c>
      <c r="L53" s="52">
        <v>61.95</v>
      </c>
      <c r="M53" s="14"/>
      <c r="N53" s="59" t="s">
        <v>76</v>
      </c>
      <c r="O53" s="60">
        <v>4</v>
      </c>
      <c r="P53" s="59" t="s">
        <v>50</v>
      </c>
      <c r="Q53" s="59" t="s">
        <v>77</v>
      </c>
      <c r="R53" s="52">
        <v>30.7</v>
      </c>
      <c r="S53" s="14">
        <v>1.3400067663038069</v>
      </c>
      <c r="T53" s="14">
        <v>6.0796775458405197</v>
      </c>
      <c r="U53" s="15">
        <f t="shared" si="6"/>
        <v>8.5115485641767283E-2</v>
      </c>
      <c r="V53" s="29">
        <v>1.3376014633588658</v>
      </c>
      <c r="W53" s="15">
        <f t="shared" si="3"/>
        <v>1.872642048702412E-2</v>
      </c>
      <c r="X53" s="15">
        <v>7.417279009199385</v>
      </c>
      <c r="Y53" s="15"/>
      <c r="Z53" s="29">
        <v>43.457135475625428</v>
      </c>
      <c r="AA53" s="29">
        <v>6.0616424050632931</v>
      </c>
      <c r="AB53" s="29">
        <v>4.2011846157700399</v>
      </c>
      <c r="AC53" s="52">
        <v>10.262827020833333</v>
      </c>
      <c r="AD53" s="15"/>
      <c r="AE53" s="29">
        <v>0.59064060933291385</v>
      </c>
      <c r="AF53" s="29">
        <v>74.391552416572864</v>
      </c>
      <c r="AG53" s="29">
        <v>11.374248507041976</v>
      </c>
      <c r="AH53" s="29">
        <v>54.831383982667404</v>
      </c>
      <c r="AI53" s="17">
        <f t="shared" si="5"/>
        <v>0.76763937575734364</v>
      </c>
      <c r="AJ53" s="15"/>
      <c r="AK53" s="16">
        <f t="shared" si="7"/>
        <v>0.87148128188613505</v>
      </c>
      <c r="AL53" s="17"/>
      <c r="AM53" s="29">
        <v>6.5403487861651595</v>
      </c>
      <c r="AO53" s="29">
        <v>62.248662991866787</v>
      </c>
      <c r="AP53" s="21">
        <f t="shared" si="9"/>
        <v>0.87148128188613505</v>
      </c>
    </row>
    <row r="54" spans="1:42" s="40" customFormat="1">
      <c r="A54" s="40" t="s">
        <v>40</v>
      </c>
      <c r="B54" s="40" t="s">
        <v>45</v>
      </c>
      <c r="C54" s="50" t="s">
        <v>0</v>
      </c>
      <c r="D54" s="39">
        <v>39653</v>
      </c>
      <c r="F54" s="29">
        <v>2</v>
      </c>
      <c r="G54" s="29">
        <v>1</v>
      </c>
      <c r="H54" s="15"/>
      <c r="I54" s="40">
        <v>1</v>
      </c>
      <c r="J54" s="52">
        <v>24.9</v>
      </c>
      <c r="K54" s="29">
        <v>4.8804999999999996</v>
      </c>
      <c r="L54" s="52" t="s">
        <v>73</v>
      </c>
      <c r="M54" s="14"/>
      <c r="N54" s="59" t="s">
        <v>76</v>
      </c>
      <c r="O54" s="60">
        <v>6</v>
      </c>
      <c r="P54" s="59" t="s">
        <v>41</v>
      </c>
      <c r="Q54" s="59" t="s">
        <v>77</v>
      </c>
      <c r="R54" s="47">
        <v>29.9</v>
      </c>
      <c r="S54" s="14">
        <v>1.3258622795561528</v>
      </c>
      <c r="T54" s="14">
        <v>5.6314035001715776</v>
      </c>
      <c r="U54" s="15">
        <f t="shared" si="6"/>
        <v>7.883964900240209E-2</v>
      </c>
      <c r="V54" s="29">
        <v>1.1832628329713042</v>
      </c>
      <c r="W54" s="15">
        <f t="shared" si="3"/>
        <v>1.6565679661598259E-2</v>
      </c>
      <c r="X54" s="15">
        <v>6.8146663331428821</v>
      </c>
      <c r="Y54" s="15"/>
      <c r="Z54" s="29">
        <v>39.276629746054724</v>
      </c>
      <c r="AA54" s="29">
        <v>12.89479746835443</v>
      </c>
      <c r="AB54" s="15">
        <v>5.2145765941455631</v>
      </c>
      <c r="AC54" s="52">
        <v>18.109374062499992</v>
      </c>
      <c r="AD54" s="15"/>
      <c r="AE54" s="15">
        <v>0.71205097558045072</v>
      </c>
      <c r="AF54" s="29">
        <v>112.80337910777121</v>
      </c>
      <c r="AG54" s="29">
        <v>17.823935245120857</v>
      </c>
      <c r="AH54" s="29">
        <v>57.100564991175581</v>
      </c>
      <c r="AI54" s="17">
        <f t="shared" si="5"/>
        <v>0.79940790987645816</v>
      </c>
      <c r="AJ54" s="15"/>
      <c r="AK54" s="16">
        <f t="shared" si="7"/>
        <v>0.89481323854045847</v>
      </c>
      <c r="AL54" s="17"/>
      <c r="AM54" s="29">
        <v>6.3287583553497324</v>
      </c>
      <c r="AO54" s="29">
        <v>63.915231324318462</v>
      </c>
      <c r="AP54" s="21">
        <f t="shared" si="9"/>
        <v>0.89481323854045847</v>
      </c>
    </row>
    <row r="55" spans="1:42" s="40" customFormat="1">
      <c r="A55" s="40" t="s">
        <v>40</v>
      </c>
      <c r="B55" s="40" t="s">
        <v>45</v>
      </c>
      <c r="C55" s="50" t="s">
        <v>0</v>
      </c>
      <c r="D55" s="39">
        <v>39667</v>
      </c>
      <c r="F55" s="29">
        <v>1.9</v>
      </c>
      <c r="G55" s="29">
        <v>1.7</v>
      </c>
      <c r="H55" s="15"/>
      <c r="I55" s="40">
        <v>0.95</v>
      </c>
      <c r="J55" s="52">
        <v>21.3</v>
      </c>
      <c r="K55" s="29" t="s">
        <v>73</v>
      </c>
      <c r="L55" s="52">
        <v>58.95</v>
      </c>
      <c r="M55" s="14"/>
      <c r="N55" s="59" t="s">
        <v>78</v>
      </c>
      <c r="O55" s="60">
        <v>2</v>
      </c>
      <c r="P55" s="59" t="s">
        <v>50</v>
      </c>
      <c r="Q55" s="59" t="s">
        <v>77</v>
      </c>
      <c r="R55" s="52">
        <v>30.6</v>
      </c>
      <c r="S55" s="14">
        <v>1.5840674248520545</v>
      </c>
      <c r="T55" s="14">
        <v>5.5532489101100282</v>
      </c>
      <c r="U55" s="15">
        <f t="shared" si="6"/>
        <v>7.7745484741540402E-2</v>
      </c>
      <c r="V55" s="29">
        <v>1.0597919286612552</v>
      </c>
      <c r="W55" s="15">
        <f t="shared" si="3"/>
        <v>1.4837087001257573E-2</v>
      </c>
      <c r="X55" s="15">
        <v>6.6130408387712833</v>
      </c>
      <c r="Y55" s="15"/>
      <c r="Z55" s="29">
        <v>35.293026635502528</v>
      </c>
      <c r="AA55" s="29">
        <v>3.9357341772151897</v>
      </c>
      <c r="AB55" s="15">
        <v>3.0980148852848113</v>
      </c>
      <c r="AC55" s="52">
        <v>7.033749062500001</v>
      </c>
      <c r="AD55" s="15"/>
      <c r="AE55" s="15">
        <v>0.55954998426064328</v>
      </c>
      <c r="AF55" s="29">
        <v>118.07499514796108</v>
      </c>
      <c r="AG55" s="29">
        <v>15.107466865786678</v>
      </c>
      <c r="AH55" s="29">
        <v>50.400493501289205</v>
      </c>
      <c r="AI55" s="17">
        <f t="shared" si="5"/>
        <v>0.7056069090180489</v>
      </c>
      <c r="AJ55" s="15"/>
      <c r="AK55" s="16">
        <f t="shared" si="7"/>
        <v>0.79818948076084684</v>
      </c>
      <c r="AL55" s="17"/>
      <c r="AM55" s="29">
        <v>7.8156712966461077</v>
      </c>
      <c r="AO55" s="29">
        <v>57.013534340060488</v>
      </c>
      <c r="AP55" s="21">
        <f t="shared" si="9"/>
        <v>0.79818948076084684</v>
      </c>
    </row>
    <row r="56" spans="1:42" s="40" customFormat="1">
      <c r="A56" s="40" t="s">
        <v>40</v>
      </c>
      <c r="B56" s="40" t="s">
        <v>45</v>
      </c>
      <c r="C56" s="50" t="s">
        <v>0</v>
      </c>
      <c r="D56" s="39">
        <v>39686</v>
      </c>
      <c r="F56" s="29">
        <v>2.5</v>
      </c>
      <c r="G56" s="29">
        <v>1.3</v>
      </c>
      <c r="H56" s="15"/>
      <c r="I56" s="40">
        <v>1.25</v>
      </c>
      <c r="J56" s="52">
        <v>21</v>
      </c>
      <c r="K56" s="29" t="s">
        <v>73</v>
      </c>
      <c r="L56" s="52">
        <v>67.599999999999994</v>
      </c>
      <c r="M56" s="14"/>
      <c r="N56" s="59" t="s">
        <v>76</v>
      </c>
      <c r="O56" s="60">
        <v>2</v>
      </c>
      <c r="P56" s="59" t="s">
        <v>74</v>
      </c>
      <c r="Q56" s="59" t="s">
        <v>77</v>
      </c>
      <c r="R56" s="52">
        <v>30.7</v>
      </c>
      <c r="S56" s="14">
        <v>1.0678427458858999</v>
      </c>
      <c r="T56" s="14">
        <v>3.8055786844296429</v>
      </c>
      <c r="U56" s="15">
        <f t="shared" si="6"/>
        <v>5.3278101582015E-2</v>
      </c>
      <c r="V56" s="29">
        <v>0.42185892305933453</v>
      </c>
      <c r="W56" s="15">
        <f t="shared" si="3"/>
        <v>5.9060249228306836E-3</v>
      </c>
      <c r="X56" s="15">
        <v>4.2274376074889775</v>
      </c>
      <c r="Y56" s="15"/>
      <c r="Z56" s="29">
        <v>23.149907709692215</v>
      </c>
      <c r="AA56" s="30">
        <v>6.6597063291139236</v>
      </c>
      <c r="AB56" s="31">
        <v>0.67714567088607791</v>
      </c>
      <c r="AC56" s="52">
        <v>7.3368520000000013</v>
      </c>
      <c r="AD56" s="15"/>
      <c r="AE56" s="31">
        <v>0.90770623819506269</v>
      </c>
      <c r="AF56" s="29">
        <v>94.185132773306947</v>
      </c>
      <c r="AG56" s="29">
        <v>14.203689106310657</v>
      </c>
      <c r="AH56" s="29">
        <v>37.35359681600287</v>
      </c>
      <c r="AI56" s="17">
        <f t="shared" si="5"/>
        <v>0.52295035542404023</v>
      </c>
      <c r="AJ56" s="15"/>
      <c r="AK56" s="16">
        <f t="shared" si="7"/>
        <v>0.58213448192888595</v>
      </c>
      <c r="AL56" s="17"/>
      <c r="AM56" s="29">
        <v>6.6310331117752197</v>
      </c>
      <c r="AN56" s="47"/>
      <c r="AO56" s="29">
        <v>41.58103442349185</v>
      </c>
      <c r="AP56" s="21">
        <f t="shared" si="9"/>
        <v>0.58213448192888595</v>
      </c>
    </row>
    <row r="57" spans="1:42" s="40" customFormat="1">
      <c r="A57" s="40" t="s">
        <v>40</v>
      </c>
      <c r="B57" s="40" t="s">
        <v>45</v>
      </c>
      <c r="C57" s="50" t="s">
        <v>0</v>
      </c>
      <c r="D57" s="39">
        <v>39700</v>
      </c>
      <c r="F57" s="29">
        <v>1.4</v>
      </c>
      <c r="G57" s="29">
        <v>1.2</v>
      </c>
      <c r="H57" s="14">
        <f>SUM(G52:G57)/6</f>
        <v>1.3833333333333331</v>
      </c>
      <c r="I57" s="40">
        <v>0.7</v>
      </c>
      <c r="J57" s="52">
        <v>22.9</v>
      </c>
      <c r="K57" s="29">
        <v>5.67</v>
      </c>
      <c r="L57" s="52" t="s">
        <v>73</v>
      </c>
      <c r="M57" s="14">
        <f>SUM(K47:K52)/4</f>
        <v>5.6899999999999995</v>
      </c>
      <c r="N57" s="59" t="s">
        <v>77</v>
      </c>
      <c r="O57" s="60">
        <v>6</v>
      </c>
      <c r="P57" s="59" t="s">
        <v>41</v>
      </c>
      <c r="Q57" s="59" t="s">
        <v>77</v>
      </c>
      <c r="R57" s="52">
        <v>30.8</v>
      </c>
      <c r="S57" s="14">
        <v>0.87679462518468976</v>
      </c>
      <c r="T57" s="14">
        <v>1.3665099208624842</v>
      </c>
      <c r="U57" s="15">
        <f t="shared" si="6"/>
        <v>1.9131138892074781E-2</v>
      </c>
      <c r="V57" s="29">
        <v>0.25723105064593571</v>
      </c>
      <c r="W57" s="15">
        <f t="shared" si="3"/>
        <v>3.6012347090430999E-3</v>
      </c>
      <c r="X57" s="15">
        <v>1.6237409715084199</v>
      </c>
      <c r="Y57" s="15">
        <f>SUM(X47:X57)/11</f>
        <v>8.7427558496711537</v>
      </c>
      <c r="Z57" s="29">
        <v>43.570720406634088</v>
      </c>
      <c r="AA57" s="29">
        <v>11.751573749999997</v>
      </c>
      <c r="AB57" s="29">
        <v>6.6562374639687576</v>
      </c>
      <c r="AC57" s="52">
        <v>18.407811213968756</v>
      </c>
      <c r="AD57" s="15">
        <f>SUM(AC47:AC57)/11</f>
        <v>9.3876436987604173</v>
      </c>
      <c r="AE57" s="29">
        <v>0.63840147062581354</v>
      </c>
      <c r="AF57" s="29">
        <v>93.820207034872311</v>
      </c>
      <c r="AG57" s="29">
        <v>13.796304434425634</v>
      </c>
      <c r="AH57" s="29">
        <v>57.367024841059724</v>
      </c>
      <c r="AI57" s="17">
        <f t="shared" si="5"/>
        <v>0.80313834777483617</v>
      </c>
      <c r="AJ57" s="15">
        <f>SUM(AI47:AI57)/11</f>
        <v>1.0127949762387791</v>
      </c>
      <c r="AK57" s="16">
        <f t="shared" si="7"/>
        <v>0.82587072137595396</v>
      </c>
      <c r="AL57" s="15">
        <f>SUM(AK47:AK57)/11</f>
        <v>1.1351935581341754</v>
      </c>
      <c r="AM57" s="29">
        <v>6.8003868340832403</v>
      </c>
      <c r="AO57" s="29">
        <v>58.990765812568142</v>
      </c>
      <c r="AP57" s="21">
        <f t="shared" si="9"/>
        <v>0.82587072137595396</v>
      </c>
    </row>
    <row r="58" spans="1:42" s="40" customFormat="1">
      <c r="A58" s="40" t="s">
        <v>40</v>
      </c>
      <c r="B58" s="40" t="s">
        <v>45</v>
      </c>
      <c r="C58" s="50" t="s">
        <v>0</v>
      </c>
      <c r="D58" s="39">
        <v>40008</v>
      </c>
      <c r="E58" s="61"/>
      <c r="F58" s="40">
        <v>2.2999999999999998</v>
      </c>
      <c r="G58" s="40">
        <v>1.4</v>
      </c>
      <c r="H58" s="62"/>
      <c r="I58" s="14"/>
      <c r="J58" s="14">
        <v>21.5</v>
      </c>
      <c r="K58" s="40">
        <v>6.13</v>
      </c>
      <c r="L58" s="40">
        <v>101</v>
      </c>
      <c r="M58" s="63"/>
      <c r="N58" s="62"/>
      <c r="O58" s="40">
        <v>3</v>
      </c>
      <c r="P58" s="40" t="s">
        <v>50</v>
      </c>
      <c r="Q58" s="40" t="s">
        <v>77</v>
      </c>
      <c r="R58" s="15"/>
      <c r="S58" s="14">
        <v>0.84848694688733473</v>
      </c>
      <c r="T58" s="14">
        <v>1.4098636850972581</v>
      </c>
      <c r="U58" s="15">
        <f t="shared" si="6"/>
        <v>1.9738091591361615E-2</v>
      </c>
      <c r="V58" s="29">
        <v>0.87945584200000004</v>
      </c>
      <c r="W58" s="15">
        <f t="shared" si="3"/>
        <v>1.2312381788000001E-2</v>
      </c>
      <c r="X58" s="15">
        <v>2.2893195270972582</v>
      </c>
      <c r="Y58" s="15"/>
      <c r="Z58" s="29">
        <v>34.886009753551178</v>
      </c>
      <c r="AA58" s="36">
        <v>16.819315822784809</v>
      </c>
      <c r="AB58" s="36">
        <v>5.3151333490901971</v>
      </c>
      <c r="AC58" s="14">
        <v>22.134449171875005</v>
      </c>
      <c r="AD58" s="15"/>
      <c r="AE58" s="37">
        <v>0.75987053900379697</v>
      </c>
      <c r="AF58" s="29">
        <v>82.158180616836873</v>
      </c>
      <c r="AG58" s="29">
        <v>12.373158867193171</v>
      </c>
      <c r="AH58" s="29">
        <v>47.259168620744347</v>
      </c>
      <c r="AI58" s="17">
        <f t="shared" si="5"/>
        <v>0.66162836069042086</v>
      </c>
      <c r="AJ58" s="15"/>
      <c r="AK58" s="16">
        <f t="shared" si="7"/>
        <v>0.69367883406978248</v>
      </c>
      <c r="AL58" s="15"/>
      <c r="AM58" s="29">
        <v>6.640032791842291</v>
      </c>
      <c r="AO58" s="15">
        <f>X58+AH58</f>
        <v>49.548488147841603</v>
      </c>
      <c r="AP58" s="21">
        <f t="shared" si="9"/>
        <v>0.69367883406978248</v>
      </c>
    </row>
    <row r="59" spans="1:42" s="40" customFormat="1">
      <c r="A59" s="40" t="s">
        <v>40</v>
      </c>
      <c r="B59" s="40" t="s">
        <v>45</v>
      </c>
      <c r="C59" s="50" t="s">
        <v>0</v>
      </c>
      <c r="D59" s="39">
        <v>40022</v>
      </c>
      <c r="F59" s="40">
        <v>2</v>
      </c>
      <c r="G59" s="40">
        <v>1.6</v>
      </c>
      <c r="H59" s="15"/>
      <c r="I59" s="14"/>
      <c r="J59" s="14">
        <v>24</v>
      </c>
      <c r="K59" s="40">
        <v>4.41</v>
      </c>
      <c r="L59" s="40">
        <v>99.5</v>
      </c>
      <c r="M59" s="14"/>
      <c r="O59" s="40">
        <v>2</v>
      </c>
      <c r="P59" s="40" t="s">
        <v>73</v>
      </c>
      <c r="Q59" s="40" t="s">
        <v>77</v>
      </c>
      <c r="R59" s="14"/>
      <c r="S59" s="14">
        <v>1.5703913043478261</v>
      </c>
      <c r="T59" s="14">
        <v>5.059805393095596</v>
      </c>
      <c r="U59" s="15">
        <f t="shared" si="6"/>
        <v>7.0837275503338348E-2</v>
      </c>
      <c r="V59" s="29">
        <v>1.4482758620689653</v>
      </c>
      <c r="W59" s="15">
        <f t="shared" si="3"/>
        <v>2.0275862068965516E-2</v>
      </c>
      <c r="X59" s="15">
        <v>6.5080812551645613</v>
      </c>
      <c r="Y59" s="15"/>
      <c r="Z59" s="29">
        <v>28.387612767125205</v>
      </c>
      <c r="AA59" s="36">
        <v>3.6284886075949379</v>
      </c>
      <c r="AB59" s="36">
        <v>0.88971658511339557</v>
      </c>
      <c r="AC59" s="14">
        <v>4.5182051927083338</v>
      </c>
      <c r="AD59" s="15"/>
      <c r="AE59" s="38">
        <v>0.80308185503631901</v>
      </c>
      <c r="AF59" s="29">
        <v>77.805439736170641</v>
      </c>
      <c r="AG59" s="29">
        <v>11.417086842822659</v>
      </c>
      <c r="AH59" s="29">
        <v>39.80469960994786</v>
      </c>
      <c r="AI59" s="17">
        <f t="shared" si="5"/>
        <v>0.55726579453927005</v>
      </c>
      <c r="AJ59" s="15"/>
      <c r="AK59" s="16">
        <f t="shared" si="7"/>
        <v>0.64837893211157405</v>
      </c>
      <c r="AL59" s="15"/>
      <c r="AM59" s="29">
        <v>6.8148242022949104</v>
      </c>
      <c r="AO59" s="15">
        <f>X59+AH59</f>
        <v>46.312780865112423</v>
      </c>
      <c r="AP59" s="21">
        <f t="shared" si="9"/>
        <v>0.64837893211157394</v>
      </c>
    </row>
    <row r="60" spans="1:42" s="40" customFormat="1">
      <c r="A60" s="40" t="s">
        <v>40</v>
      </c>
      <c r="B60" s="40" t="s">
        <v>45</v>
      </c>
      <c r="C60" s="50" t="s">
        <v>0</v>
      </c>
      <c r="D60" s="39">
        <v>40037</v>
      </c>
      <c r="F60" s="40">
        <v>2.6</v>
      </c>
      <c r="G60" s="40">
        <v>1.5</v>
      </c>
      <c r="H60" s="15"/>
      <c r="I60" s="14"/>
      <c r="J60" s="14">
        <v>25.7</v>
      </c>
      <c r="K60" s="40">
        <v>4.7</v>
      </c>
      <c r="L60" s="40">
        <v>97.3</v>
      </c>
      <c r="M60" s="14"/>
      <c r="O60" s="40">
        <v>3</v>
      </c>
      <c r="P60" s="40" t="s">
        <v>61</v>
      </c>
      <c r="Q60" s="40" t="s">
        <v>77</v>
      </c>
      <c r="R60" s="14"/>
      <c r="S60" s="14">
        <v>1.73420541995704</v>
      </c>
      <c r="T60" s="14">
        <v>4.9981163666806196</v>
      </c>
      <c r="U60" s="15">
        <f t="shared" si="6"/>
        <v>6.997362913352867E-2</v>
      </c>
      <c r="V60" s="29">
        <v>0.94209224501673217</v>
      </c>
      <c r="W60" s="15">
        <f t="shared" si="3"/>
        <v>1.318929143023425E-2</v>
      </c>
      <c r="X60" s="15">
        <v>5.9402086116973516</v>
      </c>
      <c r="Y60" s="15"/>
      <c r="Z60" s="29">
        <v>80.817187538251986</v>
      </c>
      <c r="AA60" s="36">
        <v>1.60431582278481</v>
      </c>
      <c r="AB60" s="36">
        <v>0.72140786992352413</v>
      </c>
      <c r="AC60" s="14">
        <v>2.3257236927083342</v>
      </c>
      <c r="AD60" s="15"/>
      <c r="AE60" s="38">
        <v>0.68981359557659416</v>
      </c>
      <c r="AF60" s="29">
        <v>62.477315385366531</v>
      </c>
      <c r="AG60" s="29">
        <v>11.254212953308421</v>
      </c>
      <c r="AH60" s="29">
        <v>92.071400491560411</v>
      </c>
      <c r="AI60" s="17">
        <f t="shared" si="5"/>
        <v>1.2889996068818457</v>
      </c>
      <c r="AJ60" s="15"/>
      <c r="AK60" s="16">
        <f t="shared" si="7"/>
        <v>1.3721625274456088</v>
      </c>
      <c r="AL60" s="15"/>
      <c r="AM60" s="29">
        <v>5.5514602082413909</v>
      </c>
      <c r="AO60" s="15">
        <f>X60+AH60</f>
        <v>98.011609103257769</v>
      </c>
      <c r="AP60" s="21">
        <f t="shared" si="9"/>
        <v>1.3721625274456088</v>
      </c>
    </row>
    <row r="61" spans="1:42" s="40" customFormat="1">
      <c r="A61" s="40" t="s">
        <v>40</v>
      </c>
      <c r="B61" s="40" t="s">
        <v>45</v>
      </c>
      <c r="C61" s="50" t="s">
        <v>0</v>
      </c>
      <c r="D61" s="39">
        <v>40051</v>
      </c>
      <c r="F61" s="40">
        <v>2.4</v>
      </c>
      <c r="G61" s="40">
        <v>1.5</v>
      </c>
      <c r="H61" s="14">
        <f>SUM(G58:G61)/4</f>
        <v>1.5</v>
      </c>
      <c r="I61" s="14"/>
      <c r="J61" s="14">
        <v>29</v>
      </c>
      <c r="K61" s="40">
        <v>5.0599999999999996</v>
      </c>
      <c r="L61" s="40">
        <v>100.2</v>
      </c>
      <c r="M61" s="14">
        <f>SUM(K58:K61)/4</f>
        <v>5.0749999999999993</v>
      </c>
      <c r="O61" s="40">
        <v>3</v>
      </c>
      <c r="P61" s="40" t="s">
        <v>73</v>
      </c>
      <c r="Q61" s="40" t="s">
        <v>77</v>
      </c>
      <c r="R61" s="14"/>
      <c r="S61" s="14">
        <v>1.717823747393723</v>
      </c>
      <c r="T61" s="14">
        <v>0.1</v>
      </c>
      <c r="U61" s="15">
        <f t="shared" si="6"/>
        <v>1.4000000000000002E-3</v>
      </c>
      <c r="V61" s="29">
        <v>0.817837916</v>
      </c>
      <c r="W61" s="15">
        <f t="shared" si="3"/>
        <v>1.1449730824E-2</v>
      </c>
      <c r="X61" s="15">
        <v>0.86783791600000004</v>
      </c>
      <c r="Y61" s="15">
        <f>SUM(X58:X61)/4</f>
        <v>3.9013618274897928</v>
      </c>
      <c r="Z61" s="29">
        <v>34.882719328174268</v>
      </c>
      <c r="AA61" s="36">
        <v>3.8326392405063303</v>
      </c>
      <c r="AB61" s="36">
        <v>1.6288959522020034</v>
      </c>
      <c r="AC61" s="14">
        <v>5.4615351927083342</v>
      </c>
      <c r="AD61" s="15">
        <f>SUM(AC58:AC61)/4</f>
        <v>8.6099783125000009</v>
      </c>
      <c r="AE61" s="38">
        <v>0.70175126686417144</v>
      </c>
      <c r="AF61" s="29">
        <v>99.652181035672925</v>
      </c>
      <c r="AG61" s="29">
        <v>16.704610933824537</v>
      </c>
      <c r="AH61" s="29">
        <v>51.587330261998801</v>
      </c>
      <c r="AI61" s="17">
        <f t="shared" si="5"/>
        <v>0.72222262366798318</v>
      </c>
      <c r="AJ61" s="15">
        <f>SUM(AI58:AI61)/4</f>
        <v>0.80752909644488002</v>
      </c>
      <c r="AK61" s="16">
        <f t="shared" si="7"/>
        <v>0.73437235449198324</v>
      </c>
      <c r="AL61" s="15">
        <f>SUM(AK58:AK61)/4</f>
        <v>0.86214816202973721</v>
      </c>
      <c r="AM61" s="29">
        <v>5.9655493582248589</v>
      </c>
      <c r="AO61" s="15">
        <f>X61+AH61</f>
        <v>52.4551681779988</v>
      </c>
      <c r="AP61" s="21">
        <f t="shared" si="9"/>
        <v>0.73437235449198324</v>
      </c>
    </row>
    <row r="62" spans="1:42" s="40" customFormat="1">
      <c r="A62" s="40" t="s">
        <v>40</v>
      </c>
      <c r="B62" s="40" t="s">
        <v>45</v>
      </c>
      <c r="C62" s="50" t="s">
        <v>0</v>
      </c>
      <c r="D62" s="39">
        <v>40360</v>
      </c>
      <c r="E62" s="49">
        <v>0.35416666666666669</v>
      </c>
      <c r="F62" s="47">
        <v>2.2999999999999998</v>
      </c>
      <c r="G62" s="47">
        <v>1.5</v>
      </c>
      <c r="H62" s="15"/>
      <c r="I62" s="40">
        <v>1.1499999999999999</v>
      </c>
      <c r="J62" s="14">
        <v>23.2</v>
      </c>
      <c r="K62" s="15">
        <v>4.3059037187608604</v>
      </c>
      <c r="M62" s="14"/>
      <c r="O62" s="40">
        <v>2</v>
      </c>
      <c r="P62" s="40" t="s">
        <v>74</v>
      </c>
      <c r="Q62" s="40" t="s">
        <v>77</v>
      </c>
      <c r="R62" s="52">
        <v>30.4</v>
      </c>
      <c r="S62" s="14">
        <v>1.0167960073746052</v>
      </c>
      <c r="T62" s="52">
        <v>1.2431313923173692</v>
      </c>
      <c r="U62" s="15">
        <f t="shared" si="6"/>
        <v>1.740383949244317E-2</v>
      </c>
      <c r="V62" s="27">
        <v>0.80146412884333817</v>
      </c>
      <c r="W62" s="15">
        <f t="shared" si="3"/>
        <v>1.1220497803806734E-2</v>
      </c>
      <c r="X62" s="27">
        <v>2.0445955211607076</v>
      </c>
      <c r="Y62" s="15"/>
      <c r="Z62" s="27">
        <v>42.341320709205789</v>
      </c>
      <c r="AA62" s="29">
        <v>9.0529250000000001</v>
      </c>
      <c r="AB62" s="29">
        <v>3.0128832500000025</v>
      </c>
      <c r="AC62" s="52">
        <v>12.065808250000003</v>
      </c>
      <c r="AD62" s="15"/>
      <c r="AE62" s="29">
        <v>0.75029577898355859</v>
      </c>
      <c r="AF62" s="29">
        <v>100.44980870080165</v>
      </c>
      <c r="AG62" s="29">
        <v>14.001632453283898</v>
      </c>
      <c r="AH62" s="29">
        <v>56.342953162489685</v>
      </c>
      <c r="AI62" s="17">
        <f t="shared" si="5"/>
        <v>0.7888013442748556</v>
      </c>
      <c r="AJ62" s="15"/>
      <c r="AK62" s="16">
        <f t="shared" si="7"/>
        <v>0.81742568157110551</v>
      </c>
      <c r="AL62" s="15"/>
      <c r="AM62" s="29">
        <v>7.1741498025998016</v>
      </c>
      <c r="AO62" s="29">
        <v>58.387548683650394</v>
      </c>
      <c r="AP62" s="21">
        <f t="shared" si="9"/>
        <v>0.81742568157110551</v>
      </c>
    </row>
    <row r="63" spans="1:42" s="40" customFormat="1">
      <c r="A63" s="40" t="s">
        <v>40</v>
      </c>
      <c r="B63" s="40" t="s">
        <v>45</v>
      </c>
      <c r="C63" s="50" t="s">
        <v>0</v>
      </c>
      <c r="D63" s="39">
        <v>40374</v>
      </c>
      <c r="E63" s="49">
        <v>0.33333333333333331</v>
      </c>
      <c r="F63" s="47">
        <v>2</v>
      </c>
      <c r="G63" s="47">
        <v>1.5</v>
      </c>
      <c r="H63" s="15"/>
      <c r="I63" s="40">
        <v>1</v>
      </c>
      <c r="J63" s="14">
        <v>25.4</v>
      </c>
      <c r="K63" s="15">
        <v>2.9305463197932382</v>
      </c>
      <c r="L63" s="14"/>
      <c r="M63" s="14"/>
      <c r="O63" s="40">
        <v>1</v>
      </c>
      <c r="P63" s="40" t="s">
        <v>74</v>
      </c>
      <c r="Q63" s="40" t="s">
        <v>73</v>
      </c>
      <c r="R63" s="52">
        <v>29.8</v>
      </c>
      <c r="S63" s="14">
        <v>1.4149618896131955</v>
      </c>
      <c r="T63" s="52">
        <v>4.2503915246430211</v>
      </c>
      <c r="U63" s="15">
        <f t="shared" si="6"/>
        <v>5.9505481345002297E-2</v>
      </c>
      <c r="V63" s="27">
        <v>0.94494875549048318</v>
      </c>
      <c r="W63" s="15">
        <f t="shared" si="3"/>
        <v>1.3229282576866765E-2</v>
      </c>
      <c r="X63" s="27">
        <v>5.1953402801335038</v>
      </c>
      <c r="Y63" s="15"/>
      <c r="Z63" s="27">
        <v>27.410471238191111</v>
      </c>
      <c r="AA63" s="29">
        <v>11.60815</v>
      </c>
      <c r="AB63" s="29">
        <v>2.9853619999999994</v>
      </c>
      <c r="AC63" s="52">
        <v>14.593512</v>
      </c>
      <c r="AD63" s="15"/>
      <c r="AE63" s="29">
        <v>0.79543224413698355</v>
      </c>
      <c r="AF63" s="29">
        <v>79.18211330501137</v>
      </c>
      <c r="AG63" s="29">
        <v>10.874540749285153</v>
      </c>
      <c r="AH63" s="29">
        <v>38.285011987476267</v>
      </c>
      <c r="AI63" s="17">
        <f t="shared" si="5"/>
        <v>0.5359901678246678</v>
      </c>
      <c r="AJ63" s="15"/>
      <c r="AK63" s="16">
        <f t="shared" si="7"/>
        <v>0.60872493174653675</v>
      </c>
      <c r="AL63" s="15"/>
      <c r="AM63" s="29">
        <v>7.2814213611932512</v>
      </c>
      <c r="AO63" s="29">
        <v>43.480352267609767</v>
      </c>
      <c r="AP63" s="21">
        <f t="shared" si="9"/>
        <v>0.60872493174653675</v>
      </c>
    </row>
    <row r="64" spans="1:42" s="40" customFormat="1">
      <c r="A64" s="40" t="s">
        <v>40</v>
      </c>
      <c r="B64" s="40" t="s">
        <v>45</v>
      </c>
      <c r="C64" s="50" t="s">
        <v>0</v>
      </c>
      <c r="D64" s="39">
        <v>40393</v>
      </c>
      <c r="E64" s="49">
        <v>0.36805555555555558</v>
      </c>
      <c r="F64" s="47">
        <v>1.6</v>
      </c>
      <c r="G64" s="47">
        <v>1.4</v>
      </c>
      <c r="H64" s="15"/>
      <c r="I64" s="40">
        <v>0.8</v>
      </c>
      <c r="J64" s="14">
        <v>23.4</v>
      </c>
      <c r="K64" s="15">
        <v>5.2113357381829166</v>
      </c>
      <c r="L64" s="14"/>
      <c r="M64" s="14"/>
      <c r="O64" s="40">
        <v>4</v>
      </c>
      <c r="P64" s="40" t="s">
        <v>50</v>
      </c>
      <c r="Q64" s="40" t="s">
        <v>77</v>
      </c>
      <c r="R64" s="52">
        <v>30.2</v>
      </c>
      <c r="S64" s="14">
        <v>1.0225468258385488</v>
      </c>
      <c r="T64" s="52">
        <v>0.52381155313119243</v>
      </c>
      <c r="U64" s="15">
        <f t="shared" si="6"/>
        <v>7.3333617438366945E-3</v>
      </c>
      <c r="V64" s="27">
        <v>0.32294985250737462</v>
      </c>
      <c r="W64" s="15">
        <f t="shared" si="3"/>
        <v>4.5212979351032445E-3</v>
      </c>
      <c r="X64" s="27">
        <v>0.84676140563856706</v>
      </c>
      <c r="Y64" s="15"/>
      <c r="Z64" s="27">
        <v>47.018335603076892</v>
      </c>
      <c r="AA64" s="29">
        <v>9.0126500000000007</v>
      </c>
      <c r="AB64" s="29">
        <v>2.8269022500000007</v>
      </c>
      <c r="AC64" s="52">
        <v>11.839552250000001</v>
      </c>
      <c r="AD64" s="15"/>
      <c r="AE64" s="29">
        <v>0.76123233460961337</v>
      </c>
      <c r="AF64" s="29">
        <v>112.79589625997259</v>
      </c>
      <c r="AG64" s="29">
        <v>15.842520657957881</v>
      </c>
      <c r="AH64" s="29">
        <v>62.860856261034769</v>
      </c>
      <c r="AI64" s="17">
        <f t="shared" si="5"/>
        <v>0.88005198765448678</v>
      </c>
      <c r="AJ64" s="15"/>
      <c r="AK64" s="16">
        <f t="shared" si="7"/>
        <v>0.89190664733342684</v>
      </c>
      <c r="AL64" s="15"/>
      <c r="AM64" s="29">
        <v>7.1198200523294828</v>
      </c>
      <c r="AO64" s="29">
        <v>63.707617666673343</v>
      </c>
      <c r="AP64" s="21">
        <f t="shared" si="9"/>
        <v>0.89190664733342684</v>
      </c>
    </row>
    <row r="65" spans="1:46" s="40" customFormat="1">
      <c r="A65" s="40" t="s">
        <v>40</v>
      </c>
      <c r="B65" s="40" t="s">
        <v>45</v>
      </c>
      <c r="C65" s="50" t="s">
        <v>0</v>
      </c>
      <c r="D65" s="39">
        <v>40407</v>
      </c>
      <c r="E65" s="49">
        <v>0.38541666666666669</v>
      </c>
      <c r="F65" s="47">
        <v>2.9</v>
      </c>
      <c r="G65" s="47">
        <v>1.35</v>
      </c>
      <c r="H65" s="14">
        <f>SUM(G62:G65)/4</f>
        <v>1.4375</v>
      </c>
      <c r="I65" s="40">
        <v>1.45</v>
      </c>
      <c r="J65" s="14">
        <v>23.4</v>
      </c>
      <c r="K65" s="15">
        <v>4.4270881444041255</v>
      </c>
      <c r="L65" s="14"/>
      <c r="M65" s="14">
        <f>SUM(K62:K65)/4</f>
        <v>4.2187184802852844</v>
      </c>
      <c r="O65" s="40">
        <v>2</v>
      </c>
      <c r="P65" s="40" t="s">
        <v>50</v>
      </c>
      <c r="Q65" s="40" t="s">
        <v>77</v>
      </c>
      <c r="R65" s="52">
        <v>30.3</v>
      </c>
      <c r="S65" s="14">
        <v>1.1755844619059457</v>
      </c>
      <c r="T65" s="52">
        <v>2.6930974569578265</v>
      </c>
      <c r="U65" s="15">
        <f t="shared" si="6"/>
        <v>3.7703364397409574E-2</v>
      </c>
      <c r="V65" s="27">
        <v>0.73064896800000001</v>
      </c>
      <c r="W65" s="15">
        <f t="shared" si="3"/>
        <v>1.0229085552E-2</v>
      </c>
      <c r="X65" s="27">
        <v>3.4237464249578267</v>
      </c>
      <c r="Y65" s="15">
        <f>SUM(X62:X65)/4</f>
        <v>2.8776109079726515</v>
      </c>
      <c r="Z65" s="27">
        <v>43.997913455042173</v>
      </c>
      <c r="AA65" s="29">
        <v>6.4484750000000002</v>
      </c>
      <c r="AB65" s="29">
        <v>3.0860942500000008</v>
      </c>
      <c r="AC65" s="52">
        <v>9.5345692500000006</v>
      </c>
      <c r="AD65" s="15">
        <f>SUM(AC62:AC65)/4</f>
        <v>12.008360437500002</v>
      </c>
      <c r="AE65" s="29">
        <v>0.67632578157634127</v>
      </c>
      <c r="AF65" s="29">
        <v>109.23909805517204</v>
      </c>
      <c r="AG65" s="29">
        <v>15.08044657027</v>
      </c>
      <c r="AH65" s="29">
        <v>59.078360025312172</v>
      </c>
      <c r="AI65" s="17">
        <f t="shared" si="5"/>
        <v>0.82709704035437037</v>
      </c>
      <c r="AJ65" s="15">
        <f>SUM(AI62:AI65)/4</f>
        <v>0.75798513502709508</v>
      </c>
      <c r="AK65" s="16">
        <f t="shared" si="7"/>
        <v>0.87502949030377997</v>
      </c>
      <c r="AL65" s="15">
        <f>SUM(AK62:AK65)/4</f>
        <v>0.79827168773871227</v>
      </c>
      <c r="AM65" s="29">
        <v>7.2437575071900682</v>
      </c>
      <c r="AO65" s="29">
        <v>62.502106450269999</v>
      </c>
      <c r="AP65" s="21">
        <f t="shared" si="9"/>
        <v>0.87502949030377997</v>
      </c>
      <c r="AR65" s="35" t="s">
        <v>88</v>
      </c>
    </row>
    <row r="66" spans="1:46" s="40" customFormat="1">
      <c r="A66" s="40" t="s">
        <v>40</v>
      </c>
      <c r="B66" s="40" t="s">
        <v>45</v>
      </c>
      <c r="C66" s="50" t="s">
        <v>0</v>
      </c>
      <c r="D66" s="39">
        <v>40731</v>
      </c>
      <c r="E66" s="40" t="s">
        <v>73</v>
      </c>
      <c r="F66" s="40">
        <v>2.7</v>
      </c>
      <c r="G66" s="40">
        <v>1.7</v>
      </c>
      <c r="H66" s="15"/>
      <c r="I66" s="40">
        <v>1.3</v>
      </c>
      <c r="J66" s="14">
        <v>24.4</v>
      </c>
      <c r="K66" s="15">
        <v>3.5676218475140709</v>
      </c>
      <c r="L66" s="14"/>
      <c r="M66" s="14"/>
      <c r="O66" s="40">
        <v>2</v>
      </c>
      <c r="P66" s="40" t="s">
        <v>43</v>
      </c>
      <c r="Q66" s="40" t="s">
        <v>84</v>
      </c>
      <c r="R66" s="14">
        <v>29.2</v>
      </c>
      <c r="S66" s="14">
        <v>1.1170852041862176</v>
      </c>
      <c r="T66" s="52">
        <v>5.1821530479896243</v>
      </c>
      <c r="U66" s="15">
        <f t="shared" si="6"/>
        <v>7.2550142671854737E-2</v>
      </c>
      <c r="V66" s="29">
        <v>0.90360766629086808</v>
      </c>
      <c r="W66" s="15">
        <f t="shared" si="3"/>
        <v>1.2650507328072153E-2</v>
      </c>
      <c r="X66" s="29">
        <v>6.0857607142804921</v>
      </c>
      <c r="Y66" s="15"/>
      <c r="Z66" s="29">
        <v>26.3940114791335</v>
      </c>
      <c r="AA66" s="29">
        <v>6.0397772151898739</v>
      </c>
      <c r="AB66" s="29">
        <v>2.1653142848101283</v>
      </c>
      <c r="AC66" s="14">
        <v>8.2509150000000009</v>
      </c>
      <c r="AD66" s="15"/>
      <c r="AE66" s="29">
        <v>0.73610114100371371</v>
      </c>
      <c r="AF66" s="15">
        <v>91.245729238097965</v>
      </c>
      <c r="AG66" s="15">
        <v>12.938799630860272</v>
      </c>
      <c r="AH66" s="15">
        <v>39.33281110999377</v>
      </c>
      <c r="AI66" s="17">
        <f t="shared" si="5"/>
        <v>0.55065935553991274</v>
      </c>
      <c r="AJ66" s="15"/>
      <c r="AK66" s="16">
        <f t="shared" si="7"/>
        <v>0.63586000553983979</v>
      </c>
      <c r="AL66" s="15"/>
      <c r="AM66" s="15">
        <v>7.0521015736628456</v>
      </c>
      <c r="AO66" s="15">
        <v>45.418571824274267</v>
      </c>
      <c r="AP66" s="21">
        <f t="shared" si="9"/>
        <v>0.63586000553983979</v>
      </c>
      <c r="AR66" s="75" t="s">
        <v>39</v>
      </c>
    </row>
    <row r="67" spans="1:46" s="40" customFormat="1">
      <c r="A67" s="40" t="s">
        <v>40</v>
      </c>
      <c r="B67" s="40" t="s">
        <v>45</v>
      </c>
      <c r="C67" s="50" t="s">
        <v>0</v>
      </c>
      <c r="D67" s="39">
        <v>40759</v>
      </c>
      <c r="E67" s="49">
        <v>0.33958333333333335</v>
      </c>
      <c r="F67" s="40">
        <v>1.3</v>
      </c>
      <c r="G67" s="40">
        <v>1.3</v>
      </c>
      <c r="H67" s="14">
        <f>SUM(G66:G67)/2</f>
        <v>1.5</v>
      </c>
      <c r="I67" s="40">
        <v>0.65</v>
      </c>
      <c r="J67" s="14">
        <v>24.8</v>
      </c>
      <c r="K67" s="15">
        <v>3.6773585368406736</v>
      </c>
      <c r="L67" s="14"/>
      <c r="M67" s="14">
        <f>SUM(K66:K67)/2</f>
        <v>3.6224901921773722</v>
      </c>
      <c r="O67" s="40">
        <v>2</v>
      </c>
      <c r="P67" s="40" t="s">
        <v>85</v>
      </c>
      <c r="Q67" s="40" t="s">
        <v>76</v>
      </c>
      <c r="R67" s="14">
        <v>29.5</v>
      </c>
      <c r="S67" s="14">
        <v>1.1028053190248455</v>
      </c>
      <c r="T67" s="52">
        <v>4.2726315789473706</v>
      </c>
      <c r="U67" s="15">
        <f t="shared" si="6"/>
        <v>5.9816842105263189E-2</v>
      </c>
      <c r="V67" s="29">
        <v>0.99929537767756471</v>
      </c>
      <c r="W67" s="15">
        <f t="shared" si="3"/>
        <v>1.3990135287485906E-2</v>
      </c>
      <c r="X67" s="29">
        <v>5.2719269566249354</v>
      </c>
      <c r="Y67" s="15"/>
      <c r="Z67" s="29">
        <v>57.906668380654907</v>
      </c>
      <c r="AA67" s="29">
        <v>5.9019377417721515</v>
      </c>
      <c r="AB67" s="29">
        <v>1.4062216322822783</v>
      </c>
      <c r="AC67" s="14">
        <v>7.3081593740544299</v>
      </c>
      <c r="AD67" s="15"/>
      <c r="AE67" s="29">
        <v>0.80758196964413853</v>
      </c>
      <c r="AF67" s="15">
        <v>74.273282938323803</v>
      </c>
      <c r="AG67" s="15">
        <v>11.878350367795159</v>
      </c>
      <c r="AH67" s="15">
        <v>69.785018748450071</v>
      </c>
      <c r="AI67" s="17">
        <f t="shared" si="5"/>
        <v>0.97699026247830101</v>
      </c>
      <c r="AJ67" s="15"/>
      <c r="AK67" s="16">
        <f t="shared" si="7"/>
        <v>1.0507972398710501</v>
      </c>
      <c r="AL67" s="15"/>
      <c r="AM67" s="15">
        <v>6.2528280980577184</v>
      </c>
      <c r="AO67" s="15">
        <v>75.056945705075009</v>
      </c>
      <c r="AP67" s="21">
        <f t="shared" si="9"/>
        <v>1.0507972398710501</v>
      </c>
      <c r="AR67" s="4">
        <v>25.469064505234723</v>
      </c>
    </row>
    <row r="68" spans="1:46" s="40" customFormat="1">
      <c r="A68" s="40" t="s">
        <v>40</v>
      </c>
      <c r="B68" s="40" t="s">
        <v>45</v>
      </c>
      <c r="C68" s="50" t="s">
        <v>0</v>
      </c>
      <c r="D68" s="39">
        <v>40773</v>
      </c>
      <c r="E68" s="40" t="s">
        <v>73</v>
      </c>
      <c r="F68" s="40" t="s">
        <v>73</v>
      </c>
      <c r="G68" s="40" t="s">
        <v>73</v>
      </c>
      <c r="H68" s="14"/>
      <c r="I68" s="40" t="s">
        <v>73</v>
      </c>
      <c r="J68" s="14" t="s">
        <v>73</v>
      </c>
      <c r="K68" s="15" t="s">
        <v>73</v>
      </c>
      <c r="L68" s="14"/>
      <c r="M68" s="14"/>
      <c r="O68" s="40" t="s">
        <v>73</v>
      </c>
      <c r="P68" s="40" t="s">
        <v>73</v>
      </c>
      <c r="Q68" s="40" t="s">
        <v>73</v>
      </c>
      <c r="R68" s="14">
        <v>29</v>
      </c>
      <c r="S68" s="14">
        <v>0.801886419138929</v>
      </c>
      <c r="T68" s="52">
        <v>9.8187213622636751</v>
      </c>
      <c r="U68" s="15">
        <f t="shared" si="6"/>
        <v>0.13746209907169146</v>
      </c>
      <c r="V68" s="29">
        <v>0.98252536640360766</v>
      </c>
      <c r="W68" s="15">
        <f t="shared" si="3"/>
        <v>1.3755355129650508E-2</v>
      </c>
      <c r="X68" s="29">
        <v>10.801246728667282</v>
      </c>
      <c r="Y68" s="15">
        <f>SUM(X66:X68)/3</f>
        <v>7.3863114665242362</v>
      </c>
      <c r="Z68" s="29">
        <v>33.944181627491034</v>
      </c>
      <c r="AA68" s="29">
        <v>10.450578902953588</v>
      </c>
      <c r="AB68" s="29">
        <v>4.2165617637130834</v>
      </c>
      <c r="AC68" s="14">
        <v>14.667140666666672</v>
      </c>
      <c r="AD68" s="15">
        <f>SUM(AC66:AC68)/3</f>
        <v>10.0754050135737</v>
      </c>
      <c r="AE68" s="29">
        <v>0.71251644341995923</v>
      </c>
      <c r="AF68" s="15">
        <v>152.94188966415385</v>
      </c>
      <c r="AG68" s="15">
        <v>20.819905177463397</v>
      </c>
      <c r="AH68" s="15">
        <v>54.764086804954431</v>
      </c>
      <c r="AI68" s="17">
        <f t="shared" si="5"/>
        <v>0.76669721526936208</v>
      </c>
      <c r="AJ68" s="15">
        <f>SUM(AI66:AI68)/3</f>
        <v>0.76478227776252528</v>
      </c>
      <c r="AK68" s="16">
        <f t="shared" si="7"/>
        <v>0.91791466947070399</v>
      </c>
      <c r="AL68" s="15">
        <f>SUM(AK66:AK68)/3</f>
        <v>0.86819063829386467</v>
      </c>
      <c r="AM68" s="15">
        <v>7.3459455439646533</v>
      </c>
      <c r="AO68" s="15">
        <v>65.565333533621711</v>
      </c>
      <c r="AP68" s="21">
        <f t="shared" si="9"/>
        <v>0.91791466947070399</v>
      </c>
      <c r="AR68" s="18">
        <v>40.286693684566032</v>
      </c>
    </row>
    <row r="69" spans="1:46">
      <c r="A69" s="6" t="s">
        <v>40</v>
      </c>
      <c r="B69" s="6" t="s">
        <v>45</v>
      </c>
      <c r="C69" s="50" t="s">
        <v>0</v>
      </c>
      <c r="D69" s="2">
        <v>41101</v>
      </c>
      <c r="E69" s="66">
        <v>0.375</v>
      </c>
      <c r="F69" s="4">
        <v>1.4</v>
      </c>
      <c r="G69" s="4">
        <v>1.4</v>
      </c>
      <c r="I69" s="1">
        <v>0.7</v>
      </c>
      <c r="J69" s="5">
        <v>25.2</v>
      </c>
      <c r="K69" s="4">
        <v>5.0764206643067187</v>
      </c>
      <c r="O69" s="1">
        <v>2</v>
      </c>
      <c r="P69" s="24" t="s">
        <v>50</v>
      </c>
      <c r="Q69" s="24" t="s">
        <v>70</v>
      </c>
      <c r="R69" s="67">
        <v>30.9</v>
      </c>
      <c r="S69" s="68">
        <v>1.2224164993190683</v>
      </c>
      <c r="T69" s="68">
        <v>0.53800437910540966</v>
      </c>
      <c r="U69" s="15">
        <f t="shared" si="6"/>
        <v>7.5320613074757355E-3</v>
      </c>
      <c r="V69" s="18">
        <v>0.32406554962253725</v>
      </c>
      <c r="W69" s="15">
        <f t="shared" si="6"/>
        <v>4.5369176947155218E-3</v>
      </c>
      <c r="X69" s="4">
        <v>0.86206992872794697</v>
      </c>
      <c r="Z69" s="4">
        <v>24.606994576506775</v>
      </c>
      <c r="AA69" s="69">
        <v>14.336381898734169</v>
      </c>
      <c r="AB69" s="69">
        <v>36.510335353349163</v>
      </c>
      <c r="AC69" s="71">
        <v>50.84671725208333</v>
      </c>
      <c r="AE69" s="70">
        <v>0.28195294944329502</v>
      </c>
      <c r="AG69" s="4">
        <v>90.174305227988327</v>
      </c>
      <c r="AH69" s="4">
        <v>13.419629564014389</v>
      </c>
      <c r="AI69" s="15">
        <f t="shared" si="5"/>
        <v>0.18787481389620145</v>
      </c>
      <c r="AK69" s="16">
        <f t="shared" si="7"/>
        <v>1.6190071762651228</v>
      </c>
      <c r="AM69" s="4">
        <v>6.7195822953113851</v>
      </c>
      <c r="AO69" s="4">
        <v>39.75076399797706</v>
      </c>
      <c r="AP69" s="21">
        <f t="shared" si="9"/>
        <v>0.5565106959716789</v>
      </c>
      <c r="AR69" s="18">
        <v>25.469064505234723</v>
      </c>
    </row>
    <row r="70" spans="1:46">
      <c r="A70" s="6" t="s">
        <v>40</v>
      </c>
      <c r="B70" s="6" t="s">
        <v>45</v>
      </c>
      <c r="C70" s="50" t="s">
        <v>0</v>
      </c>
      <c r="D70" s="2">
        <v>41115</v>
      </c>
      <c r="E70" s="66" t="s">
        <v>87</v>
      </c>
      <c r="F70" s="25">
        <v>2.5</v>
      </c>
      <c r="G70" s="25">
        <v>1.35</v>
      </c>
      <c r="I70" s="1">
        <v>1.25</v>
      </c>
      <c r="J70" s="72">
        <v>23.9</v>
      </c>
      <c r="K70" s="4">
        <v>3.5957912572515025</v>
      </c>
      <c r="O70" s="24">
        <v>6</v>
      </c>
      <c r="P70" s="24" t="s">
        <v>87</v>
      </c>
      <c r="Q70" s="24" t="s">
        <v>63</v>
      </c>
      <c r="R70" s="67">
        <v>30.8</v>
      </c>
      <c r="S70" s="68">
        <v>1.73499359996407</v>
      </c>
      <c r="T70" s="68">
        <v>4.6724221008673279</v>
      </c>
      <c r="U70" s="15">
        <f t="shared" si="6"/>
        <v>6.541390941214259E-2</v>
      </c>
      <c r="V70" s="18">
        <v>0.85711655312097212</v>
      </c>
      <c r="W70" s="15">
        <f t="shared" si="6"/>
        <v>1.199963174369361E-2</v>
      </c>
      <c r="X70" s="18">
        <v>5.5295386539883005</v>
      </c>
      <c r="Z70" s="18">
        <v>34.757155030577735</v>
      </c>
      <c r="AA70" s="69">
        <v>4.9950289873417724</v>
      </c>
      <c r="AB70" s="69">
        <v>6.0102620647415623</v>
      </c>
      <c r="AC70" s="71">
        <v>11.005291052083335</v>
      </c>
      <c r="AE70" s="70">
        <v>0.45387522817001724</v>
      </c>
      <c r="AG70" s="4">
        <v>124.60266245500496</v>
      </c>
      <c r="AH70" s="4">
        <v>17.820608561883784</v>
      </c>
      <c r="AI70" s="15">
        <f t="shared" si="5"/>
        <v>0.24948851986637299</v>
      </c>
      <c r="AK70" s="16">
        <f t="shared" si="7"/>
        <v>2.3084509859539941</v>
      </c>
      <c r="AM70" s="4">
        <v>6.992054284920191</v>
      </c>
      <c r="AO70" s="4">
        <v>63.636840900438116</v>
      </c>
      <c r="AP70" s="21">
        <f t="shared" si="9"/>
        <v>0.89091577260613364</v>
      </c>
      <c r="AR70" s="18">
        <v>34.872559945964198</v>
      </c>
    </row>
    <row r="71" spans="1:46">
      <c r="A71" s="6" t="s">
        <v>40</v>
      </c>
      <c r="B71" s="6" t="s">
        <v>45</v>
      </c>
      <c r="C71" s="50" t="s">
        <v>0</v>
      </c>
      <c r="D71" s="2">
        <v>41129</v>
      </c>
      <c r="E71" s="73">
        <v>0.37847222222222227</v>
      </c>
      <c r="F71" s="4">
        <v>1.3</v>
      </c>
      <c r="G71" s="4">
        <v>1.3</v>
      </c>
      <c r="I71" s="1">
        <v>0.65</v>
      </c>
      <c r="J71" s="5">
        <v>25.7</v>
      </c>
      <c r="K71" s="4">
        <v>4.5441070526626417</v>
      </c>
      <c r="O71" s="1">
        <v>4</v>
      </c>
      <c r="P71" s="24" t="s">
        <v>50</v>
      </c>
      <c r="Q71" s="24" t="s">
        <v>42</v>
      </c>
      <c r="R71" s="67">
        <v>30.5</v>
      </c>
      <c r="S71" s="74">
        <v>1.0269800988379858</v>
      </c>
      <c r="T71" s="68">
        <v>7.8186804740605229</v>
      </c>
      <c r="U71" s="15">
        <f t="shared" si="6"/>
        <v>0.10946152663684733</v>
      </c>
      <c r="V71" s="18">
        <v>0.25524370755093889</v>
      </c>
      <c r="W71" s="15">
        <f t="shared" si="6"/>
        <v>3.5734119057131445E-3</v>
      </c>
      <c r="X71" s="18">
        <v>7.8436804740605233</v>
      </c>
      <c r="Z71" s="18">
        <v>17.6253840311742</v>
      </c>
      <c r="AA71" s="69">
        <v>6.6353260759493642</v>
      </c>
      <c r="AB71" s="69">
        <v>5.1606437761339716</v>
      </c>
      <c r="AC71" s="71">
        <v>11.795969852083335</v>
      </c>
      <c r="AE71" s="70">
        <v>0.56250788694390164</v>
      </c>
      <c r="AG71" s="4">
        <v>98.171650026636044</v>
      </c>
      <c r="AH71" s="4">
        <v>14.426543410195373</v>
      </c>
      <c r="AI71" s="15">
        <f t="shared" si="5"/>
        <v>0.20197160774273523</v>
      </c>
      <c r="AK71" s="16">
        <f t="shared" si="7"/>
        <v>1.7309700034461908</v>
      </c>
      <c r="AM71" s="4">
        <v>6.8049322166290516</v>
      </c>
      <c r="AO71" s="4">
        <v>47.739288389490618</v>
      </c>
      <c r="AP71" s="21">
        <f t="shared" si="9"/>
        <v>0.66835003745286869</v>
      </c>
    </row>
    <row r="72" spans="1:46">
      <c r="A72" s="6" t="s">
        <v>40</v>
      </c>
      <c r="B72" s="6" t="s">
        <v>45</v>
      </c>
      <c r="C72" s="50" t="s">
        <v>0</v>
      </c>
      <c r="D72" s="2">
        <v>41143</v>
      </c>
      <c r="E72" s="66" t="s">
        <v>87</v>
      </c>
      <c r="F72" s="4">
        <v>2</v>
      </c>
      <c r="G72" s="4">
        <v>1.7</v>
      </c>
      <c r="H72" s="14">
        <f>SUM(G69:G72)/4</f>
        <v>1.4375</v>
      </c>
      <c r="I72" s="1">
        <v>1</v>
      </c>
      <c r="J72" s="5">
        <v>24</v>
      </c>
      <c r="K72" s="4">
        <v>4.2010464913613248</v>
      </c>
      <c r="O72" s="1">
        <v>1</v>
      </c>
      <c r="P72" s="24" t="s">
        <v>59</v>
      </c>
      <c r="Q72" s="24" t="s">
        <v>42</v>
      </c>
      <c r="R72" s="67">
        <v>30.4</v>
      </c>
      <c r="S72" s="74">
        <v>1.5579036406779097</v>
      </c>
      <c r="T72" s="68">
        <v>3.7623024363310091</v>
      </c>
      <c r="U72" s="15">
        <f t="shared" si="6"/>
        <v>5.2672234108634128E-2</v>
      </c>
      <c r="V72" s="18">
        <v>0.53397164426440791</v>
      </c>
      <c r="W72" s="15">
        <f t="shared" si="6"/>
        <v>7.4756030197017107E-3</v>
      </c>
      <c r="X72" s="18">
        <v>4.2962740805954169</v>
      </c>
      <c r="Z72" s="18">
        <v>30.576285865368781</v>
      </c>
      <c r="AA72" s="69">
        <v>7.3071991772151872</v>
      </c>
      <c r="AB72" s="69">
        <v>2.4278810248681468</v>
      </c>
      <c r="AC72" s="71">
        <v>9.7350802020833349</v>
      </c>
      <c r="AE72" s="70">
        <v>0.75060492831393677</v>
      </c>
      <c r="AG72" s="4">
        <v>97.869363121116848</v>
      </c>
      <c r="AH72" s="4">
        <v>13.072214845156623</v>
      </c>
      <c r="AI72" s="15">
        <f t="shared" si="5"/>
        <v>0.18301100783219273</v>
      </c>
      <c r="AK72" s="16">
        <f t="shared" si="7"/>
        <v>1.8583869229391348</v>
      </c>
      <c r="AM72" s="4">
        <v>7.4868233333373002</v>
      </c>
      <c r="AO72" s="4">
        <v>52.241048871716238</v>
      </c>
      <c r="AP72" s="21">
        <f t="shared" si="9"/>
        <v>0.73137468420402729</v>
      </c>
      <c r="AR72" s="3" t="s">
        <v>88</v>
      </c>
    </row>
    <row r="73" spans="1:46" ht="15">
      <c r="A73" s="6" t="s">
        <v>40</v>
      </c>
      <c r="B73" s="6" t="s">
        <v>45</v>
      </c>
      <c r="C73" s="50" t="s">
        <v>0</v>
      </c>
      <c r="D73" s="2">
        <v>41466</v>
      </c>
      <c r="E73" s="64">
        <v>0.31597222222222221</v>
      </c>
      <c r="F73" s="1">
        <v>2.2999999999999998</v>
      </c>
      <c r="G73" s="5">
        <v>1.3</v>
      </c>
      <c r="I73" s="5" t="s">
        <v>73</v>
      </c>
      <c r="J73" s="5">
        <v>24.9</v>
      </c>
      <c r="K73" s="1">
        <v>5.0999999999999996</v>
      </c>
      <c r="N73" s="1">
        <v>3</v>
      </c>
      <c r="O73" s="1">
        <v>3</v>
      </c>
      <c r="P73" s="1" t="s">
        <v>50</v>
      </c>
      <c r="Q73" s="1" t="s">
        <v>76</v>
      </c>
      <c r="R73" s="67">
        <v>29.7</v>
      </c>
      <c r="S73" s="5">
        <v>0.35</v>
      </c>
      <c r="T73" s="5">
        <v>3.637657765948314</v>
      </c>
      <c r="U73" s="15">
        <f t="shared" si="6"/>
        <v>5.0927208723276399E-2</v>
      </c>
      <c r="V73" s="77">
        <v>1.4151854714064915</v>
      </c>
      <c r="W73" s="15">
        <f t="shared" si="6"/>
        <v>1.9812596599690882E-2</v>
      </c>
      <c r="X73" s="77">
        <v>5.0528432373548053</v>
      </c>
      <c r="Z73" s="77">
        <v>48.203425043028446</v>
      </c>
      <c r="AA73" s="79">
        <v>9.2898734177215179</v>
      </c>
      <c r="AB73" s="79">
        <v>1.2711265822784807</v>
      </c>
      <c r="AC73" s="4">
        <v>10.560999999999998</v>
      </c>
      <c r="AE73" s="80">
        <v>0.87963956232568119</v>
      </c>
      <c r="AF73" s="4">
        <v>120.13376192062243</v>
      </c>
      <c r="AG73" s="4">
        <v>16.627561821137839</v>
      </c>
      <c r="AH73" s="4">
        <v>64.830986864166277</v>
      </c>
      <c r="AI73" s="15">
        <f t="shared" ref="AI73:AI79" si="11">AH73*0.014</f>
        <v>0.90763381609832794</v>
      </c>
      <c r="AK73" s="16">
        <f t="shared" si="7"/>
        <v>0.97837362142129525</v>
      </c>
      <c r="AM73" s="4">
        <v>7.2249776132482646</v>
      </c>
      <c r="AO73" s="4">
        <v>69.883830101521085</v>
      </c>
      <c r="AP73" s="21">
        <f t="shared" si="9"/>
        <v>0.97837362142129525</v>
      </c>
      <c r="AR73" s="76" t="s">
        <v>39</v>
      </c>
    </row>
    <row r="74" spans="1:46" ht="15">
      <c r="A74" s="1" t="s">
        <v>40</v>
      </c>
      <c r="B74" s="1" t="s">
        <v>45</v>
      </c>
      <c r="C74" s="50" t="s">
        <v>0</v>
      </c>
      <c r="D74" s="2">
        <v>41480</v>
      </c>
      <c r="E74" s="64">
        <v>0.3576388888888889</v>
      </c>
      <c r="F74" s="1">
        <v>2</v>
      </c>
      <c r="G74" s="5">
        <v>1</v>
      </c>
      <c r="I74" s="5">
        <v>1</v>
      </c>
      <c r="J74" s="5">
        <v>24.5</v>
      </c>
      <c r="K74" s="1">
        <v>4.5</v>
      </c>
      <c r="N74" s="1">
        <v>3</v>
      </c>
      <c r="O74" s="1">
        <v>1</v>
      </c>
      <c r="P74" s="1" t="s">
        <v>41</v>
      </c>
      <c r="Q74" s="1" t="s">
        <v>89</v>
      </c>
      <c r="R74" s="5">
        <v>30</v>
      </c>
      <c r="S74" s="5">
        <v>1.0835202814963467</v>
      </c>
      <c r="T74" s="5">
        <v>5.6753238323576767</v>
      </c>
      <c r="U74" s="15">
        <f t="shared" si="6"/>
        <v>7.9454533653007475E-2</v>
      </c>
      <c r="V74" s="77">
        <v>1.1220000000000001</v>
      </c>
      <c r="W74" s="15">
        <f t="shared" si="6"/>
        <v>1.5708000000000003E-2</v>
      </c>
      <c r="X74" s="77">
        <v>6.7973238323576766</v>
      </c>
      <c r="Z74" s="77">
        <v>26.886327201429516</v>
      </c>
      <c r="AA74" s="79">
        <v>8.1003164556962037</v>
      </c>
      <c r="AB74" s="79">
        <v>0.62593354430379811</v>
      </c>
      <c r="AC74" s="4">
        <v>8.7262500000000021</v>
      </c>
      <c r="AE74" s="80">
        <v>0.9282700421940927</v>
      </c>
      <c r="AF74" s="4">
        <v>161.97330775338995</v>
      </c>
      <c r="AG74" s="4">
        <v>22.982044045776508</v>
      </c>
      <c r="AH74" s="4">
        <v>49.868371247206028</v>
      </c>
      <c r="AI74" s="15">
        <f t="shared" si="11"/>
        <v>0.69815719746088445</v>
      </c>
      <c r="AK74" s="16">
        <f t="shared" si="7"/>
        <v>0.79331973111389187</v>
      </c>
      <c r="AM74" s="4">
        <v>7.0478199167474118</v>
      </c>
      <c r="AO74" s="4">
        <v>56.665695079563704</v>
      </c>
      <c r="AP74" s="21">
        <f t="shared" si="9"/>
        <v>0.79331973111389187</v>
      </c>
      <c r="AR74" s="78">
        <v>53.256268280383253</v>
      </c>
    </row>
    <row r="75" spans="1:46" ht="15">
      <c r="A75" s="1" t="s">
        <v>40</v>
      </c>
      <c r="B75" s="1" t="s">
        <v>45</v>
      </c>
      <c r="C75" s="50" t="s">
        <v>0</v>
      </c>
      <c r="D75" s="2">
        <v>41499</v>
      </c>
      <c r="E75" s="64">
        <v>0.38541666666666669</v>
      </c>
      <c r="F75" s="1">
        <v>2</v>
      </c>
      <c r="G75" s="5">
        <v>1.7</v>
      </c>
      <c r="H75" s="14">
        <f>SUM(G72:G75)/3</f>
        <v>1.9000000000000001</v>
      </c>
      <c r="I75" s="5">
        <v>1</v>
      </c>
      <c r="J75" s="5">
        <v>23.6</v>
      </c>
      <c r="K75" s="1">
        <v>5</v>
      </c>
      <c r="N75" s="1">
        <v>3</v>
      </c>
      <c r="O75" s="1">
        <v>1</v>
      </c>
      <c r="P75" s="1" t="s">
        <v>90</v>
      </c>
      <c r="Q75" s="1" t="s">
        <v>76</v>
      </c>
      <c r="R75" s="67">
        <v>30.5</v>
      </c>
      <c r="S75" s="5">
        <v>0.83293641143470487</v>
      </c>
      <c r="T75" s="5">
        <v>2.2524790760822864</v>
      </c>
      <c r="U75" s="15">
        <f t="shared" si="6"/>
        <v>3.1534707065152011E-2</v>
      </c>
      <c r="V75" s="77">
        <v>0.48493044822256565</v>
      </c>
      <c r="W75" s="15">
        <f t="shared" si="6"/>
        <v>6.7890262751159189E-3</v>
      </c>
      <c r="X75" s="77">
        <v>2.737409524304852</v>
      </c>
      <c r="Z75" s="77">
        <v>21.783987349119251</v>
      </c>
      <c r="AA75" s="4">
        <v>4.161863291139241</v>
      </c>
      <c r="AB75" s="4">
        <v>2.3906741046940949</v>
      </c>
      <c r="AC75" s="4">
        <v>6.5525373958333359</v>
      </c>
      <c r="AE75" s="65">
        <v>0.63515292469535689</v>
      </c>
      <c r="AF75" s="4">
        <v>102.66676705839912</v>
      </c>
      <c r="AG75" s="4">
        <v>15.079675125392523</v>
      </c>
      <c r="AH75" s="4">
        <v>36.86366247451177</v>
      </c>
      <c r="AI75" s="15">
        <f t="shared" si="11"/>
        <v>0.51609127464316484</v>
      </c>
      <c r="AK75" s="16">
        <f t="shared" si="7"/>
        <v>0.55441500798343268</v>
      </c>
      <c r="AM75" s="4">
        <v>6.8082877253449254</v>
      </c>
      <c r="AO75" s="4">
        <v>39.601071998816622</v>
      </c>
      <c r="AP75" s="21">
        <f t="shared" si="9"/>
        <v>0.55441500798343268</v>
      </c>
      <c r="AR75" s="78">
        <v>33.683651033787193</v>
      </c>
    </row>
    <row r="76" spans="1:46" ht="15">
      <c r="A76" s="6" t="s">
        <v>40</v>
      </c>
      <c r="B76" s="6" t="s">
        <v>45</v>
      </c>
      <c r="C76" s="50" t="s">
        <v>0</v>
      </c>
      <c r="D76" s="2">
        <v>41836</v>
      </c>
      <c r="E76" s="64">
        <v>0.3611111111111111</v>
      </c>
      <c r="F76" s="5">
        <v>1.8</v>
      </c>
      <c r="G76" s="5">
        <v>1.1000000000000001</v>
      </c>
      <c r="I76" s="19">
        <v>0.9</v>
      </c>
      <c r="J76" s="19">
        <v>24.2</v>
      </c>
      <c r="K76" s="18">
        <v>4.9000000000000004</v>
      </c>
      <c r="L76" s="83">
        <v>1</v>
      </c>
      <c r="N76" s="1">
        <v>2</v>
      </c>
      <c r="O76" s="1">
        <v>2</v>
      </c>
      <c r="P76" s="1" t="s">
        <v>41</v>
      </c>
      <c r="Q76" s="1" t="s">
        <v>76</v>
      </c>
      <c r="R76" s="19">
        <v>29.8</v>
      </c>
      <c r="S76" s="19">
        <v>0.97210917492484139</v>
      </c>
      <c r="T76" s="84">
        <v>10.129327778518388</v>
      </c>
      <c r="U76" s="15">
        <f t="shared" si="6"/>
        <v>0.14181058889925743</v>
      </c>
      <c r="V76" s="77">
        <v>1.1774</v>
      </c>
      <c r="W76" s="15">
        <f t="shared" si="6"/>
        <v>1.6483600000000001E-2</v>
      </c>
      <c r="X76" s="77">
        <v>11.306727778518388</v>
      </c>
      <c r="Z76" s="77">
        <v>46.593725633857943</v>
      </c>
      <c r="AA76" s="18">
        <v>3.6225974683544306</v>
      </c>
      <c r="AB76" s="18">
        <v>1.6799419066455705</v>
      </c>
      <c r="AC76" s="18">
        <v>5.3025393750000012</v>
      </c>
      <c r="AE76" s="86">
        <v>0.68318162528579618</v>
      </c>
      <c r="AF76" s="18">
        <v>90.414778974000569</v>
      </c>
      <c r="AG76" s="18">
        <v>14.988059323058504</v>
      </c>
      <c r="AH76" s="18">
        <v>61.581784956916451</v>
      </c>
      <c r="AI76" s="15">
        <f t="shared" si="11"/>
        <v>0.86214498939683037</v>
      </c>
      <c r="AK76" s="16">
        <f t="shared" si="7"/>
        <v>1.0204391782960875</v>
      </c>
      <c r="AM76" s="18">
        <v>6.0324540372549231</v>
      </c>
      <c r="AO76" s="18">
        <v>72.88851273543483</v>
      </c>
      <c r="AP76" s="21">
        <f t="shared" si="9"/>
        <v>1.0204391782960875</v>
      </c>
      <c r="AR76" s="78">
        <v>24.521396873424102</v>
      </c>
    </row>
    <row r="77" spans="1:46" ht="15">
      <c r="A77" s="1" t="s">
        <v>40</v>
      </c>
      <c r="B77" s="1" t="s">
        <v>45</v>
      </c>
      <c r="C77" s="50" t="s">
        <v>0</v>
      </c>
      <c r="D77" s="2">
        <v>41851</v>
      </c>
      <c r="E77" s="64">
        <v>0.3576388888888889</v>
      </c>
      <c r="F77" s="5">
        <v>2</v>
      </c>
      <c r="G77" s="5">
        <v>1.5</v>
      </c>
      <c r="I77" s="19">
        <v>1</v>
      </c>
      <c r="J77" s="19">
        <v>23.8</v>
      </c>
      <c r="K77" s="18">
        <v>4.5999999999999996</v>
      </c>
      <c r="L77" s="83">
        <v>1</v>
      </c>
      <c r="N77" s="1">
        <v>1</v>
      </c>
      <c r="O77" s="1">
        <v>1</v>
      </c>
      <c r="P77" s="1" t="s">
        <v>50</v>
      </c>
      <c r="Q77" s="1" t="s">
        <v>76</v>
      </c>
      <c r="R77" s="19">
        <v>30.1</v>
      </c>
      <c r="S77" s="19">
        <v>0.4</v>
      </c>
      <c r="T77" s="19">
        <v>2.4002637583471143</v>
      </c>
      <c r="U77" s="15">
        <f t="shared" si="6"/>
        <v>3.3603692616859603E-2</v>
      </c>
      <c r="V77" s="77">
        <v>0.30866087300019746</v>
      </c>
      <c r="W77" s="15">
        <f t="shared" si="6"/>
        <v>4.3212522220027645E-3</v>
      </c>
      <c r="X77" s="77">
        <v>2.7089246313473119</v>
      </c>
      <c r="Z77" s="77">
        <v>20.371075368652686</v>
      </c>
      <c r="AA77" s="18">
        <v>3.0008556962025321</v>
      </c>
      <c r="AB77" s="18">
        <v>0.63519367879746802</v>
      </c>
      <c r="AC77" s="18">
        <v>3.6360493750000002</v>
      </c>
      <c r="AE77" s="86">
        <v>0.82530664100306173</v>
      </c>
      <c r="AF77" s="18">
        <v>108.15169257550066</v>
      </c>
      <c r="AG77" s="18">
        <v>16.455371472969706</v>
      </c>
      <c r="AH77" s="18">
        <v>36.826446841622392</v>
      </c>
      <c r="AI77" s="15">
        <f t="shared" si="11"/>
        <v>0.51557025578271354</v>
      </c>
      <c r="AK77" s="16">
        <f t="shared" si="7"/>
        <v>0.55349520062157587</v>
      </c>
      <c r="AM77" s="18">
        <v>6.5724248615812311</v>
      </c>
      <c r="AO77" s="18">
        <v>39.5353714729697</v>
      </c>
      <c r="AP77" s="21">
        <f t="shared" si="9"/>
        <v>0.55349520062157587</v>
      </c>
    </row>
    <row r="78" spans="1:46" ht="15">
      <c r="A78" s="1" t="s">
        <v>40</v>
      </c>
      <c r="B78" s="1" t="s">
        <v>45</v>
      </c>
      <c r="C78" s="50" t="s">
        <v>0</v>
      </c>
      <c r="D78" s="2">
        <v>41865</v>
      </c>
      <c r="E78" s="64">
        <v>0.36805555555555558</v>
      </c>
      <c r="F78" s="5">
        <v>1.9</v>
      </c>
      <c r="G78" s="5">
        <v>1.5</v>
      </c>
      <c r="I78" s="19">
        <v>0.95</v>
      </c>
      <c r="J78" s="19">
        <v>20.5</v>
      </c>
      <c r="K78" s="18">
        <v>5.2</v>
      </c>
      <c r="L78" s="83">
        <v>1</v>
      </c>
      <c r="N78" s="1">
        <v>1</v>
      </c>
      <c r="O78" s="1">
        <v>1</v>
      </c>
      <c r="P78" s="1" t="s">
        <v>43</v>
      </c>
      <c r="Q78" s="1" t="s">
        <v>76</v>
      </c>
      <c r="R78" s="19">
        <v>29.6</v>
      </c>
      <c r="S78" s="68">
        <v>0.6711591190518309</v>
      </c>
      <c r="T78" s="19">
        <v>3.8664939315423434</v>
      </c>
      <c r="U78" s="15">
        <f t="shared" si="6"/>
        <v>5.4130915041592807E-2</v>
      </c>
      <c r="V78" s="77">
        <v>1.2946869444993083</v>
      </c>
      <c r="W78" s="15">
        <f t="shared" si="6"/>
        <v>1.8125617222990317E-2</v>
      </c>
      <c r="X78" s="77">
        <v>5.1611808760416515</v>
      </c>
      <c r="Z78" s="77">
        <v>9.8305838298407</v>
      </c>
      <c r="AA78" s="18">
        <v>2.0777594936708863</v>
      </c>
      <c r="AB78" s="18">
        <v>1.0044638813291147</v>
      </c>
      <c r="AC78" s="18">
        <v>3.0822233750000008</v>
      </c>
      <c r="AE78" s="86">
        <v>0.67411061460491517</v>
      </c>
      <c r="AF78" s="18" t="s">
        <v>91</v>
      </c>
      <c r="AG78" s="18" t="s">
        <v>91</v>
      </c>
      <c r="AH78" s="18" t="s">
        <v>73</v>
      </c>
      <c r="AI78" s="15"/>
      <c r="AK78" s="16"/>
      <c r="AM78" s="18" t="s">
        <v>91</v>
      </c>
      <c r="AO78" s="18" t="s">
        <v>73</v>
      </c>
      <c r="AP78" s="21"/>
      <c r="AT78" s="81" t="s">
        <v>88</v>
      </c>
    </row>
    <row r="79" spans="1:46" ht="15">
      <c r="A79" s="1" t="s">
        <v>40</v>
      </c>
      <c r="B79" s="1" t="s">
        <v>45</v>
      </c>
      <c r="C79" s="50" t="s">
        <v>0</v>
      </c>
      <c r="D79" s="2">
        <v>41879</v>
      </c>
      <c r="E79" s="64">
        <v>0.36458333333333331</v>
      </c>
      <c r="F79" s="5">
        <v>2</v>
      </c>
      <c r="G79" s="5">
        <v>0.8</v>
      </c>
      <c r="H79" s="14">
        <f>SUM(G76:G79)/4</f>
        <v>1.2249999999999999</v>
      </c>
      <c r="I79" s="19">
        <v>1</v>
      </c>
      <c r="J79" s="19">
        <v>22.8</v>
      </c>
      <c r="K79" s="18">
        <v>5.2</v>
      </c>
      <c r="L79" s="83">
        <v>1</v>
      </c>
      <c r="N79" s="1">
        <v>1</v>
      </c>
      <c r="O79" s="1">
        <v>1</v>
      </c>
      <c r="P79" s="1" t="s">
        <v>43</v>
      </c>
      <c r="Q79" s="1" t="s">
        <v>77</v>
      </c>
      <c r="R79" s="19">
        <v>30.3</v>
      </c>
      <c r="S79" s="19">
        <v>0.95307863501483658</v>
      </c>
      <c r="T79" s="19">
        <v>2.5694491727377948</v>
      </c>
      <c r="U79" s="15">
        <f t="shared" si="6"/>
        <v>3.5972288418329126E-2</v>
      </c>
      <c r="V79" s="77">
        <v>0.53663835670551041</v>
      </c>
      <c r="W79" s="15">
        <f t="shared" si="6"/>
        <v>7.512936993877146E-3</v>
      </c>
      <c r="X79" s="77">
        <v>3.1060875294433052</v>
      </c>
      <c r="Z79" s="77">
        <v>17.94450070585081</v>
      </c>
      <c r="AA79" s="18">
        <v>4.1650354430379748</v>
      </c>
      <c r="AB79" s="18">
        <v>2.2476619319620257</v>
      </c>
      <c r="AC79" s="18">
        <v>6.4126973750000005</v>
      </c>
      <c r="AE79" s="86">
        <v>0.64949820636717237</v>
      </c>
      <c r="AF79" s="18">
        <v>127.7349727554807</v>
      </c>
      <c r="AG79" s="18">
        <v>19.746467516697379</v>
      </c>
      <c r="AH79" s="18">
        <v>37.690968222548193</v>
      </c>
      <c r="AI79" s="15">
        <f t="shared" si="11"/>
        <v>0.52767355511567471</v>
      </c>
      <c r="AK79" s="16">
        <f t="shared" si="7"/>
        <v>0.57115878052788094</v>
      </c>
      <c r="AM79" s="18">
        <v>6.4687505574082813</v>
      </c>
      <c r="AO79" s="18">
        <v>40.7970557519915</v>
      </c>
      <c r="AP79" s="21">
        <f t="shared" si="9"/>
        <v>0.57115878052788105</v>
      </c>
      <c r="AT79" s="82" t="s">
        <v>39</v>
      </c>
    </row>
    <row r="80" spans="1:46" ht="15">
      <c r="K80" s="33">
        <f>SUM(K6:K79)</f>
        <v>319.03771977107817</v>
      </c>
      <c r="L80"/>
      <c r="M80" s="4"/>
      <c r="AB80" t="s">
        <v>92</v>
      </c>
      <c r="AC80" s="4">
        <f>SUM(AC33:AC79)</f>
        <v>460.74427448160702</v>
      </c>
      <c r="AP80" s="4">
        <f>SUM(AP33:AP79)</f>
        <v>39.04789250668027</v>
      </c>
      <c r="AQ80">
        <f>AP80/58</f>
        <v>0.67323952597724601</v>
      </c>
      <c r="AT80" s="85">
        <v>57.900453412376329</v>
      </c>
    </row>
    <row r="81" spans="11:46" ht="15">
      <c r="K81">
        <f>K80/68</f>
        <v>4.6917311731040909</v>
      </c>
      <c r="L81"/>
      <c r="M81" s="5"/>
      <c r="AB81" t="s">
        <v>93</v>
      </c>
      <c r="AC81" s="5">
        <f>AC80/60</f>
        <v>7.6790712413601172</v>
      </c>
      <c r="AP81" s="5">
        <f>AP80/58</f>
        <v>0.67323952597724601</v>
      </c>
      <c r="AT81" s="77">
        <v>23.08</v>
      </c>
    </row>
    <row r="82" spans="11:46" ht="15">
      <c r="K82"/>
      <c r="L82"/>
      <c r="M82" s="5"/>
      <c r="AC82" s="5"/>
      <c r="AP82" s="5"/>
      <c r="AT82" s="77">
        <v>14.991764705882352</v>
      </c>
    </row>
    <row r="83" spans="11:46" ht="15">
      <c r="AT83" s="77">
        <v>21.050588235294114</v>
      </c>
    </row>
  </sheetData>
  <phoneticPr fontId="8" type="noConversion"/>
  <dataValidations count="1">
    <dataValidation allowBlank="1" showErrorMessage="1" sqref="V69 V71:V72"/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Sheet1</vt:lpstr>
      <vt:lpstr>TN</vt:lpstr>
      <vt:lpstr>Chl A</vt:lpstr>
      <vt:lpstr>DO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Larry Ballantine</cp:lastModifiedBy>
  <cp:lastPrinted>2009-06-21T17:02:17Z</cp:lastPrinted>
  <dcterms:created xsi:type="dcterms:W3CDTF">2009-06-20T11:52:35Z</dcterms:created>
  <dcterms:modified xsi:type="dcterms:W3CDTF">2016-01-12T20:13:50Z</dcterms:modified>
</cp:coreProperties>
</file>